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регистрация" sheetId="1" r:id="rId4"/>
    <sheet state="visible" name="финишный протокол" sheetId="2" r:id="rId5"/>
    <sheet state="visible" name="30 км" sheetId="3" r:id="rId6"/>
    <sheet state="visible" name="40 км" sheetId="4" r:id="rId7"/>
    <sheet state="visible" name="60 км" sheetId="5" r:id="rId8"/>
    <sheet state="visible" name="100 км" sheetId="6" r:id="rId9"/>
  </sheets>
  <definedNames/>
  <calcPr/>
</workbook>
</file>

<file path=xl/sharedStrings.xml><?xml version="1.0" encoding="utf-8"?>
<sst xmlns="http://schemas.openxmlformats.org/spreadsheetml/2006/main" count="658" uniqueCount="211">
  <si>
    <t>стартовый номер</t>
  </si>
  <si>
    <t>Название команды</t>
  </si>
  <si>
    <t>Дистанция, км</t>
  </si>
  <si>
    <t>Формат</t>
  </si>
  <si>
    <t>Первый</t>
  </si>
  <si>
    <t>Второй</t>
  </si>
  <si>
    <t>Третий</t>
  </si>
  <si>
    <t>бандана</t>
  </si>
  <si>
    <t>номер команды</t>
  </si>
  <si>
    <t>день старта</t>
  </si>
  <si>
    <t>время старта</t>
  </si>
  <si>
    <t>день финиша</t>
  </si>
  <si>
    <t>время финиша</t>
  </si>
  <si>
    <t>время на дистанции</t>
  </si>
  <si>
    <t>КМ</t>
  </si>
  <si>
    <t>ФОРМАТ</t>
  </si>
  <si>
    <t>Первый (капитан)</t>
  </si>
  <si>
    <t>31-я весна</t>
  </si>
  <si>
    <t>Дневной</t>
  </si>
  <si>
    <t>Олег Кузьмичев</t>
  </si>
  <si>
    <t>Амбициозные черепахи</t>
  </si>
  <si>
    <t>Иващенко Александр</t>
  </si>
  <si>
    <t>Хохлов Слава (15 лет)</t>
  </si>
  <si>
    <t>Егоршева Зоя</t>
  </si>
  <si>
    <t>Сударев Михаил</t>
  </si>
  <si>
    <t>Барбудос</t>
  </si>
  <si>
    <t>Николай Романов</t>
  </si>
  <si>
    <t>Caramba 100km.ru</t>
  </si>
  <si>
    <t>Гришин Дмитрий</t>
  </si>
  <si>
    <t>Константин Пинкус</t>
  </si>
  <si>
    <t>Маршал</t>
  </si>
  <si>
    <t>Максим Андреев</t>
  </si>
  <si>
    <t>Идущие за горизонт</t>
  </si>
  <si>
    <t>Алексей Зотов</t>
  </si>
  <si>
    <t>Кирилл Калашников</t>
  </si>
  <si>
    <t>Юный спасатель</t>
  </si>
  <si>
    <t>Мельников Сергей Агеев Иван 13 Тюрин Владимир 14
 Дмитриев Алексей 14 Кашев Андрей 14</t>
  </si>
  <si>
    <t>Еноты</t>
  </si>
  <si>
    <t>Александр</t>
  </si>
  <si>
    <t>Антон</t>
  </si>
  <si>
    <t>Бешеные агрономы 1</t>
  </si>
  <si>
    <t>Койнов Павел</t>
  </si>
  <si>
    <t>Лобынцев Антон</t>
  </si>
  <si>
    <t>Екатерина Юденичева</t>
  </si>
  <si>
    <t>Лесята</t>
  </si>
  <si>
    <t>Алёна Хохлова</t>
  </si>
  <si>
    <t>Могучий муравей</t>
  </si>
  <si>
    <t>Муравенков Денис</t>
  </si>
  <si>
    <t>Муравенков Олег 9лет</t>
  </si>
  <si>
    <t>Абрис</t>
  </si>
  <si>
    <t>Евстигнеева Елизавета</t>
  </si>
  <si>
    <t>Клитина Галина</t>
  </si>
  <si>
    <t>Свин-турист</t>
  </si>
  <si>
    <t>Гарасюта Владислав</t>
  </si>
  <si>
    <t>Медоеды</t>
  </si>
  <si>
    <t>Кирилл Романов</t>
  </si>
  <si>
    <t>Карпова Анастасия</t>
  </si>
  <si>
    <t>Новикова Тая (15 лет)</t>
  </si>
  <si>
    <t>[oH] Фордевинд</t>
  </si>
  <si>
    <t>Дьяконов Михаил</t>
  </si>
  <si>
    <t>Инженеры</t>
  </si>
  <si>
    <t>Миша</t>
  </si>
  <si>
    <t>Михаил</t>
  </si>
  <si>
    <t>Владимир</t>
  </si>
  <si>
    <t>sheich</t>
  </si>
  <si>
    <t>Ольга Симакина</t>
  </si>
  <si>
    <t>Андрей Бурков</t>
  </si>
  <si>
    <t>Хатифнатт</t>
  </si>
  <si>
    <t>Иван Забросаев</t>
  </si>
  <si>
    <t>Анна</t>
  </si>
  <si>
    <t>Весёлые кабанчики</t>
  </si>
  <si>
    <t>Ксения Истомина</t>
  </si>
  <si>
    <t>плюс один</t>
  </si>
  <si>
    <t>Zlohobbit</t>
  </si>
  <si>
    <t>Игорь Левин</t>
  </si>
  <si>
    <t>Левин Глеб 16</t>
  </si>
  <si>
    <t>Алексей Волгин</t>
  </si>
  <si>
    <t>Задеба</t>
  </si>
  <si>
    <t>Егор Задеба</t>
  </si>
  <si>
    <t>Beavers</t>
  </si>
  <si>
    <t>Ян Ситников</t>
  </si>
  <si>
    <t>Георгий Рюриков</t>
  </si>
  <si>
    <t>Неутомимые ходоки</t>
  </si>
  <si>
    <t>Филенков Кирилл Андреевич</t>
  </si>
  <si>
    <t>Авдонин Виктор Павлович</t>
  </si>
  <si>
    <t>Мулдамуратов Айваз Махмутович</t>
  </si>
  <si>
    <t>Сыроноги</t>
  </si>
  <si>
    <t>Сидоров Игорь</t>
  </si>
  <si>
    <t>Матвеева Людмила</t>
  </si>
  <si>
    <t>новичок</t>
  </si>
  <si>
    <t>Нина Филиппова</t>
  </si>
  <si>
    <t>Дарья</t>
  </si>
  <si>
    <t>"О"</t>
  </si>
  <si>
    <t>Жученко Дмитрий</t>
  </si>
  <si>
    <t>Трифонов Илья</t>
  </si>
  <si>
    <t>Тот самый</t>
  </si>
  <si>
    <t>Левандовский</t>
  </si>
  <si>
    <t>Lost</t>
  </si>
  <si>
    <t>Юрий Бобров</t>
  </si>
  <si>
    <t>Мальков Сергей</t>
  </si>
  <si>
    <t>Тугеза</t>
  </si>
  <si>
    <t>Джонни Уолкер</t>
  </si>
  <si>
    <t>Кровавая Мэри</t>
  </si>
  <si>
    <t>она тебя сожрёт</t>
  </si>
  <si>
    <t>Зацарин Владимир</t>
  </si>
  <si>
    <t>Аникина Анна</t>
  </si>
  <si>
    <t>Polkeda</t>
  </si>
  <si>
    <t>Строганов Александр</t>
  </si>
  <si>
    <t>Евражки</t>
  </si>
  <si>
    <t>Ночной, старт в пятницу</t>
  </si>
  <si>
    <t>Алексей</t>
  </si>
  <si>
    <t>Листопадов Николай</t>
  </si>
  <si>
    <t>Лукьянов Андрей</t>
  </si>
  <si>
    <t>Ольга Котляр</t>
  </si>
  <si>
    <t>Антипова Анна Игоревна</t>
  </si>
  <si>
    <t>Легион</t>
  </si>
  <si>
    <t>Вальчук Андрей Владимирович</t>
  </si>
  <si>
    <t>Юрий</t>
  </si>
  <si>
    <t>Гражданская оборона</t>
  </si>
  <si>
    <t>Корешков Александр</t>
  </si>
  <si>
    <t>Афонченко Евгений</t>
  </si>
  <si>
    <t>Сакулина Екатерина</t>
  </si>
  <si>
    <t>Гравицап</t>
  </si>
  <si>
    <t>Караев Михаил</t>
  </si>
  <si>
    <t>Арсеев Дмитрий</t>
  </si>
  <si>
    <t>Гаечка</t>
  </si>
  <si>
    <t>Хачатрян Карина</t>
  </si>
  <si>
    <t>[oH] 2x25</t>
  </si>
  <si>
    <t>Левенчук Николай</t>
  </si>
  <si>
    <t>Архипова Елена</t>
  </si>
  <si>
    <t>Во имя гречки</t>
  </si>
  <si>
    <t>Блинов Дмитрий</t>
  </si>
  <si>
    <t>Степанова Аня</t>
  </si>
  <si>
    <t>Семь верст не крюк</t>
  </si>
  <si>
    <t>Мария Лемак</t>
  </si>
  <si>
    <t>Ирина Селянова</t>
  </si>
  <si>
    <t>5 километров - не крюк</t>
  </si>
  <si>
    <t>Евгений Шляков</t>
  </si>
  <si>
    <t>Юлия Вороненко</t>
  </si>
  <si>
    <t>Александр Рахманов</t>
  </si>
  <si>
    <t>Иванов Андрей</t>
  </si>
  <si>
    <t>I'm sorry, Jon. I was hungry</t>
  </si>
  <si>
    <t>Иван Бешкарев</t>
  </si>
  <si>
    <t>Александр Никитин</t>
  </si>
  <si>
    <t>маятниковые миграции</t>
  </si>
  <si>
    <t>Кирилл Кострицын</t>
  </si>
  <si>
    <t>Светлана Малютина</t>
  </si>
  <si>
    <t>Курников</t>
  </si>
  <si>
    <t>сход после 60</t>
  </si>
  <si>
    <t>WHITE</t>
  </si>
  <si>
    <t>Зимаков Андрей</t>
  </si>
  <si>
    <t>Краснов Дмитрий</t>
  </si>
  <si>
    <t>Лосячим</t>
  </si>
  <si>
    <t>Борзов Константин</t>
  </si>
  <si>
    <t>Две сосны</t>
  </si>
  <si>
    <t>Андрей</t>
  </si>
  <si>
    <t>два</t>
  </si>
  <si>
    <t>три</t>
  </si>
  <si>
    <t>Пик Балмера</t>
  </si>
  <si>
    <t>Шахова Дарья</t>
  </si>
  <si>
    <t>Команда Полякова Михаила</t>
  </si>
  <si>
    <t>Поляков Михаил</t>
  </si>
  <si>
    <t>Болотный Тихоход</t>
  </si>
  <si>
    <t>Гольцов Алексей</t>
  </si>
  <si>
    <t>Черные бурундуки</t>
  </si>
  <si>
    <t>Дамарад Александр</t>
  </si>
  <si>
    <t>Дочкин</t>
  </si>
  <si>
    <t>Артур Пирожков</t>
  </si>
  <si>
    <t>Некрасова Екатерина</t>
  </si>
  <si>
    <t>Диванные лоси</t>
  </si>
  <si>
    <t>Серговский Иван</t>
  </si>
  <si>
    <t>пыщ-пыщ</t>
  </si>
  <si>
    <t>Поляков А.А.</t>
  </si>
  <si>
    <t>Истягин Дмитрий</t>
  </si>
  <si>
    <t>Урюк</t>
  </si>
  <si>
    <t>Фёдорова Алла</t>
  </si>
  <si>
    <t>Ползущий хорёк</t>
  </si>
  <si>
    <t>Кищенко Ярослав</t>
  </si>
  <si>
    <t>Johnnie Runners</t>
  </si>
  <si>
    <t>Калинчиков Илья</t>
  </si>
  <si>
    <t>Свирепые лосята</t>
  </si>
  <si>
    <t>Тетерин Ярослав</t>
  </si>
  <si>
    <t>Sunny Team</t>
  </si>
  <si>
    <t>Сергей Смолев</t>
  </si>
  <si>
    <t>Светлана Кузнецова</t>
  </si>
  <si>
    <t>Журбина Ирина</t>
  </si>
  <si>
    <t>8:25:00.000</t>
  </si>
  <si>
    <t>Григорий Троицкий</t>
  </si>
  <si>
    <t>Свидетели подводных мостов</t>
  </si>
  <si>
    <t>Толстиков Александо</t>
  </si>
  <si>
    <t>Геннадий 2345</t>
  </si>
  <si>
    <t>Попов Геннадий</t>
  </si>
  <si>
    <t>Стрекуздряблики</t>
  </si>
  <si>
    <t>Козодаев Андрей</t>
  </si>
  <si>
    <t>нет времени</t>
  </si>
  <si>
    <t>#ЗНАЧ!</t>
  </si>
  <si>
    <t>Молявко Евгений</t>
  </si>
  <si>
    <t>Abris-korolev</t>
  </si>
  <si>
    <t>Иванов Владимир</t>
  </si>
  <si>
    <t>Белое облачко</t>
  </si>
  <si>
    <t>Денис</t>
  </si>
  <si>
    <t>Тома</t>
  </si>
  <si>
    <t>сход</t>
  </si>
  <si>
    <t>Украденные копыта</t>
  </si>
  <si>
    <t>Дутов Данил</t>
  </si>
  <si>
    <t>Быстряков Саша</t>
  </si>
  <si>
    <t>Бешеные агрономы 2</t>
  </si>
  <si>
    <t>Маркина Ирина</t>
  </si>
  <si>
    <t>Долгова Надежда</t>
  </si>
  <si>
    <t>Койнова Алена</t>
  </si>
  <si>
    <t>№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</si>
</sst>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.mm.yyyy"/>
  </numFmts>
  <fonts count="11">
    <font>
      <sz val="10.0"/>
      <color rgb="FF000000"/>
      <name val="Arial"/>
    </font>
    <font>
      <b/>
      <color theme="1"/>
      <name val="Arial"/>
    </font>
    <font>
      <color theme="1"/>
      <name val="Arial"/>
    </font>
    <font>
      <b/>
      <color rgb="FF000000"/>
      <name val="Arial"/>
    </font>
    <font>
      <b/>
      <sz val="11.0"/>
      <color rgb="FF000000"/>
      <name val="Calibri"/>
    </font>
    <font>
      <b/>
      <sz val="9.0"/>
      <color rgb="FF000000"/>
      <name val="Arial"/>
    </font>
    <font>
      <sz val="11.0"/>
      <color rgb="FF000000"/>
      <name val="Calibri"/>
    </font>
    <font>
      <color rgb="FF000000"/>
      <name val="Arial"/>
    </font>
    <font>
      <sz val="9.0"/>
      <color rgb="FF000000"/>
      <name val="Arial"/>
    </font>
    <font>
      <sz val="9.0"/>
      <color rgb="FF000000"/>
      <name val="-apple-system"/>
    </font>
    <font>
      <sz val="11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8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1" fillId="0" fontId="1" numFmtId="0" xfId="0" applyAlignment="1" applyBorder="1" applyFont="1">
      <alignment vertical="bottom"/>
    </xf>
    <xf borderId="1" fillId="0" fontId="1" numFmtId="0" xfId="0" applyAlignment="1" applyBorder="1" applyFont="1">
      <alignment readingOrder="0"/>
    </xf>
    <xf borderId="1" fillId="0" fontId="1" numFmtId="0" xfId="0" applyAlignment="1" applyBorder="1" applyFont="1">
      <alignment readingOrder="0" vertical="bottom"/>
    </xf>
    <xf borderId="1" fillId="0" fontId="1" numFmtId="0" xfId="0" applyAlignment="1" applyBorder="1" applyFont="1">
      <alignment vertical="bottom"/>
    </xf>
    <xf borderId="0" fillId="0" fontId="1" numFmtId="0" xfId="0" applyFont="1"/>
    <xf borderId="1" fillId="0" fontId="2" numFmtId="0" xfId="0" applyAlignment="1" applyBorder="1" applyFont="1">
      <alignment horizontal="center"/>
    </xf>
    <xf borderId="1" fillId="0" fontId="2" numFmtId="0" xfId="0" applyBorder="1" applyFont="1"/>
    <xf borderId="0" fillId="0" fontId="2" numFmtId="0" xfId="0" applyAlignment="1" applyFont="1">
      <alignment horizontal="center"/>
    </xf>
    <xf borderId="0" fillId="0" fontId="2" numFmtId="0" xfId="0" applyFont="1"/>
    <xf borderId="1" fillId="0" fontId="3" numFmtId="0" xfId="0" applyAlignment="1" applyBorder="1" applyFont="1">
      <alignment horizontal="left" readingOrder="0" vertical="top"/>
    </xf>
    <xf borderId="2" fillId="2" fontId="4" numFmtId="0" xfId="0" applyAlignment="1" applyBorder="1" applyFill="1" applyFont="1">
      <alignment readingOrder="0" vertical="bottom"/>
    </xf>
    <xf borderId="2" fillId="0" fontId="4" numFmtId="0" xfId="0" applyAlignment="1" applyBorder="1" applyFont="1">
      <alignment readingOrder="0" vertical="bottom"/>
    </xf>
    <xf borderId="2" fillId="0" fontId="3" numFmtId="0" xfId="0" applyAlignment="1" applyBorder="1" applyFont="1">
      <alignment horizontal="left" readingOrder="0" vertical="top"/>
    </xf>
    <xf borderId="2" fillId="0" fontId="3" numFmtId="0" xfId="0" applyAlignment="1" applyBorder="1" applyFont="1">
      <alignment horizontal="left" readingOrder="0"/>
    </xf>
    <xf borderId="2" fillId="0" fontId="5" numFmtId="0" xfId="0" applyAlignment="1" applyBorder="1" applyFont="1">
      <alignment horizontal="left" readingOrder="0" vertical="top"/>
    </xf>
    <xf borderId="0" fillId="0" fontId="2" numFmtId="0" xfId="0" applyAlignment="1" applyFont="1">
      <alignment shrinkToFit="0" wrapText="1"/>
    </xf>
    <xf borderId="3" fillId="0" fontId="6" numFmtId="0" xfId="0" applyAlignment="1" applyBorder="1" applyFont="1">
      <alignment horizontal="right" readingOrder="0" shrinkToFit="0" vertical="bottom" wrapText="0"/>
    </xf>
    <xf borderId="4" fillId="0" fontId="6" numFmtId="164" xfId="0" applyAlignment="1" applyBorder="1" applyFont="1" applyNumberFormat="1">
      <alignment horizontal="right" readingOrder="0" shrinkToFit="0" vertical="bottom" wrapText="0"/>
    </xf>
    <xf borderId="4" fillId="0" fontId="6" numFmtId="20" xfId="0" applyAlignment="1" applyBorder="1" applyFont="1" applyNumberFormat="1">
      <alignment horizontal="right" readingOrder="0" shrinkToFit="0" vertical="bottom" wrapText="0"/>
    </xf>
    <xf borderId="4" fillId="0" fontId="7" numFmtId="0" xfId="0" applyAlignment="1" applyBorder="1" applyFont="1">
      <alignment horizontal="left" readingOrder="0" vertical="top"/>
    </xf>
    <xf borderId="4" fillId="0" fontId="7" numFmtId="0" xfId="0" applyAlignment="1" applyBorder="1" applyFont="1">
      <alignment horizontal="left" readingOrder="0"/>
    </xf>
    <xf borderId="4" fillId="0" fontId="8" numFmtId="0" xfId="0" applyAlignment="1" applyBorder="1" applyFont="1">
      <alignment horizontal="left" readingOrder="0" vertical="top"/>
    </xf>
    <xf borderId="4" fillId="0" fontId="8" numFmtId="21" xfId="0" applyAlignment="1" applyBorder="1" applyFont="1" applyNumberFormat="1">
      <alignment horizontal="left" vertical="top"/>
    </xf>
    <xf borderId="4" fillId="0" fontId="8" numFmtId="0" xfId="0" applyAlignment="1" applyBorder="1" applyFont="1">
      <alignment horizontal="left" vertical="top"/>
    </xf>
    <xf borderId="4" fillId="0" fontId="7" numFmtId="21" xfId="0" applyAlignment="1" applyBorder="1" applyFont="1" applyNumberFormat="1">
      <alignment horizontal="left" vertical="top"/>
    </xf>
    <xf borderId="4" fillId="0" fontId="7" numFmtId="0" xfId="0" applyAlignment="1" applyBorder="1" applyFont="1">
      <alignment readingOrder="0" vertical="bottom"/>
    </xf>
    <xf borderId="4" fillId="0" fontId="7" numFmtId="21" xfId="0" applyAlignment="1" applyBorder="1" applyFont="1" applyNumberFormat="1">
      <alignment vertical="bottom"/>
    </xf>
    <xf borderId="4" fillId="0" fontId="7" numFmtId="0" xfId="0" applyAlignment="1" applyBorder="1" applyFont="1">
      <alignment vertical="bottom"/>
    </xf>
    <xf borderId="4" fillId="0" fontId="8" numFmtId="0" xfId="0" applyAlignment="1" applyBorder="1" applyFont="1">
      <alignment horizontal="left" vertical="top"/>
    </xf>
    <xf borderId="3" fillId="0" fontId="6" numFmtId="0" xfId="0" applyAlignment="1" applyBorder="1" applyFont="1">
      <alignment horizontal="right" readingOrder="0" vertical="bottom"/>
    </xf>
    <xf borderId="4" fillId="0" fontId="6" numFmtId="164" xfId="0" applyAlignment="1" applyBorder="1" applyFont="1" applyNumberFormat="1">
      <alignment horizontal="right" readingOrder="0" vertical="bottom"/>
    </xf>
    <xf borderId="4" fillId="0" fontId="6" numFmtId="20" xfId="0" applyAlignment="1" applyBorder="1" applyFont="1" applyNumberFormat="1">
      <alignment horizontal="right" readingOrder="0" vertical="bottom"/>
    </xf>
    <xf borderId="4" fillId="0" fontId="8" numFmtId="0" xfId="0" applyAlignment="1" applyBorder="1" applyFont="1">
      <alignment horizontal="left" readingOrder="0" shrinkToFit="0" vertical="top" wrapText="0"/>
    </xf>
    <xf borderId="4" fillId="0" fontId="7" numFmtId="0" xfId="0" applyAlignment="1" applyBorder="1" applyFont="1">
      <alignment vertical="bottom"/>
    </xf>
    <xf borderId="4" fillId="2" fontId="7" numFmtId="0" xfId="0" applyAlignment="1" applyBorder="1" applyFont="1">
      <alignment horizontal="left" readingOrder="0" vertical="top"/>
    </xf>
    <xf borderId="4" fillId="2" fontId="7" numFmtId="0" xfId="0" applyAlignment="1" applyBorder="1" applyFont="1">
      <alignment horizontal="left" readingOrder="0"/>
    </xf>
    <xf borderId="4" fillId="2" fontId="9" numFmtId="0" xfId="0" applyAlignment="1" applyBorder="1" applyFont="1">
      <alignment horizontal="left" vertical="top"/>
    </xf>
    <xf borderId="4" fillId="0" fontId="7" numFmtId="0" xfId="0" applyAlignment="1" applyBorder="1" applyFont="1">
      <alignment horizontal="left" vertical="top"/>
    </xf>
    <xf borderId="3" fillId="2" fontId="6" numFmtId="0" xfId="0" applyAlignment="1" applyBorder="1" applyFont="1">
      <alignment horizontal="right" readingOrder="0" shrinkToFit="0" vertical="bottom" wrapText="0"/>
    </xf>
    <xf borderId="4" fillId="2" fontId="6" numFmtId="164" xfId="0" applyAlignment="1" applyBorder="1" applyFont="1" applyNumberFormat="1">
      <alignment horizontal="right" readingOrder="0" shrinkToFit="0" vertical="bottom" wrapText="0"/>
    </xf>
    <xf borderId="4" fillId="2" fontId="6" numFmtId="20" xfId="0" applyAlignment="1" applyBorder="1" applyFont="1" applyNumberFormat="1">
      <alignment horizontal="right" readingOrder="0" shrinkToFit="0" vertical="bottom" wrapText="0"/>
    </xf>
    <xf borderId="4" fillId="0" fontId="6" numFmtId="0" xfId="0" applyAlignment="1" applyBorder="1" applyFont="1">
      <alignment readingOrder="0" shrinkToFit="0" vertical="bottom" wrapText="0"/>
    </xf>
    <xf borderId="1" fillId="0" fontId="7" numFmtId="0" xfId="0" applyAlignment="1" applyBorder="1" applyFont="1">
      <alignment horizontal="left" readingOrder="0" vertical="top"/>
    </xf>
    <xf borderId="4" fillId="0" fontId="6" numFmtId="46" xfId="0" applyAlignment="1" applyBorder="1" applyFont="1" applyNumberFormat="1">
      <alignment horizontal="right" readingOrder="0" shrinkToFit="0" vertical="bottom" wrapText="0"/>
    </xf>
    <xf borderId="4" fillId="2" fontId="7" numFmtId="0" xfId="0" applyAlignment="1" applyBorder="1" applyFont="1">
      <alignment horizontal="left" vertical="top"/>
    </xf>
    <xf borderId="4" fillId="2" fontId="6" numFmtId="46" xfId="0" applyAlignment="1" applyBorder="1" applyFont="1" applyNumberFormat="1">
      <alignment horizontal="right" readingOrder="0" shrinkToFit="0" vertical="bottom" wrapText="0"/>
    </xf>
    <xf borderId="4" fillId="0" fontId="10" numFmtId="20" xfId="0" applyAlignment="1" applyBorder="1" applyFont="1" applyNumberFormat="1">
      <alignment horizontal="right" readingOrder="0" shrinkToFit="0" vertical="bottom" wrapText="0"/>
    </xf>
    <xf borderId="4" fillId="0" fontId="10" numFmtId="164" xfId="0" applyAlignment="1" applyBorder="1" applyFont="1" applyNumberFormat="1">
      <alignment horizontal="right" readingOrder="0" shrinkToFit="0" vertical="bottom" wrapText="0"/>
    </xf>
    <xf borderId="4" fillId="0" fontId="10" numFmtId="0" xfId="0" applyAlignment="1" applyBorder="1" applyFont="1">
      <alignment horizontal="right" readingOrder="0" shrinkToFit="0" vertical="bottom" wrapText="0"/>
    </xf>
    <xf borderId="4" fillId="0" fontId="6" numFmtId="0" xfId="0" applyAlignment="1" applyBorder="1" applyFont="1">
      <alignment horizontal="center" readingOrder="0" shrinkToFit="0" vertical="bottom" wrapText="0"/>
    </xf>
    <xf borderId="1" fillId="0" fontId="6" numFmtId="0" xfId="0" applyAlignment="1" applyBorder="1" applyFont="1">
      <alignment horizontal="right" readingOrder="0" shrinkToFit="0" vertical="bottom" wrapText="0"/>
    </xf>
    <xf borderId="2" fillId="2" fontId="6" numFmtId="164" xfId="0" applyAlignment="1" applyBorder="1" applyFont="1" applyNumberFormat="1">
      <alignment horizontal="right" readingOrder="0" shrinkToFit="0" vertical="bottom" wrapText="0"/>
    </xf>
    <xf borderId="2" fillId="2" fontId="6" numFmtId="20" xfId="0" applyAlignment="1" applyBorder="1" applyFont="1" applyNumberFormat="1">
      <alignment horizontal="right" readingOrder="0" shrinkToFit="0" vertical="bottom" wrapText="0"/>
    </xf>
    <xf borderId="2" fillId="0" fontId="6" numFmtId="164" xfId="0" applyAlignment="1" applyBorder="1" applyFont="1" applyNumberFormat="1">
      <alignment horizontal="right" readingOrder="0" shrinkToFit="0" vertical="bottom" wrapText="0"/>
    </xf>
    <xf borderId="2" fillId="0" fontId="6" numFmtId="20" xfId="0" applyAlignment="1" applyBorder="1" applyFont="1" applyNumberFormat="1">
      <alignment horizontal="right" readingOrder="0" shrinkToFit="0" vertical="bottom" wrapText="0"/>
    </xf>
    <xf borderId="2" fillId="0" fontId="7" numFmtId="0" xfId="0" applyAlignment="1" applyBorder="1" applyFont="1">
      <alignment horizontal="left" readingOrder="0" vertical="top"/>
    </xf>
    <xf borderId="2" fillId="0" fontId="7" numFmtId="0" xfId="0" applyAlignment="1" applyBorder="1" applyFont="1">
      <alignment horizontal="left" readingOrder="0"/>
    </xf>
    <xf borderId="2" fillId="0" fontId="8" numFmtId="0" xfId="0" applyAlignment="1" applyBorder="1" applyFont="1">
      <alignment horizontal="left" readingOrder="0" vertical="top"/>
    </xf>
    <xf borderId="2" fillId="0" fontId="8" numFmtId="0" xfId="0" applyAlignment="1" applyBorder="1" applyFont="1">
      <alignment horizontal="left" vertical="top"/>
    </xf>
    <xf borderId="4" fillId="0" fontId="6" numFmtId="0" xfId="0" applyAlignment="1" applyBorder="1" applyFont="1">
      <alignment readingOrder="0" vertical="bottom"/>
    </xf>
    <xf borderId="4" fillId="0" fontId="6" numFmtId="0" xfId="0" applyAlignment="1" applyBorder="1" applyFont="1">
      <alignment horizontal="center" readingOrder="0" vertical="bottom"/>
    </xf>
    <xf borderId="3" fillId="0" fontId="7" numFmtId="0" xfId="0" applyAlignment="1" applyBorder="1" applyFont="1">
      <alignment vertical="bottom"/>
    </xf>
    <xf borderId="4" fillId="0" fontId="7" numFmtId="0" xfId="0" applyAlignment="1" applyBorder="1" applyFont="1">
      <alignment horizontal="right" readingOrder="0" vertical="bottom"/>
    </xf>
    <xf borderId="0" fillId="0" fontId="2" numFmtId="0" xfId="0" applyAlignment="1" applyFont="1">
      <alignment horizontal="left"/>
    </xf>
    <xf borderId="1" fillId="0" fontId="6" numFmtId="0" xfId="0" applyAlignment="1" applyBorder="1" applyFont="1">
      <alignment readingOrder="0" shrinkToFit="0" vertical="bottom" wrapText="1"/>
    </xf>
    <xf borderId="2" fillId="2" fontId="4" numFmtId="0" xfId="0" applyAlignment="1" applyBorder="1" applyFont="1">
      <alignment readingOrder="0" shrinkToFit="0" vertical="bottom" wrapText="1"/>
    </xf>
    <xf borderId="2" fillId="0" fontId="4" numFmtId="0" xfId="0" applyAlignment="1" applyBorder="1" applyFont="1">
      <alignment readingOrder="0" shrinkToFit="0" vertical="bottom" wrapText="1"/>
    </xf>
    <xf borderId="2" fillId="0" fontId="3" numFmtId="0" xfId="0" applyAlignment="1" applyBorder="1" applyFont="1">
      <alignment horizontal="left" readingOrder="0" shrinkToFit="0" vertical="top" wrapText="1"/>
    </xf>
    <xf borderId="2" fillId="0" fontId="3" numFmtId="0" xfId="0" applyAlignment="1" applyBorder="1" applyFont="1">
      <alignment horizontal="left" readingOrder="0" shrinkToFit="0" wrapText="1"/>
    </xf>
    <xf borderId="2" fillId="0" fontId="5" numFmtId="0" xfId="0" applyAlignment="1" applyBorder="1" applyFont="1">
      <alignment horizontal="left" readingOrder="0" shrinkToFit="0" vertical="top" wrapText="1"/>
    </xf>
    <xf borderId="2" fillId="0" fontId="8" numFmtId="0" xfId="0" applyAlignment="1" applyBorder="1" applyFont="1">
      <alignment horizontal="left" vertical="top"/>
    </xf>
    <xf borderId="4" fillId="0" fontId="7" numFmtId="0" xfId="0" applyAlignment="1" applyBorder="1" applyFont="1">
      <alignment horizontal="left" vertical="top"/>
    </xf>
    <xf borderId="1" fillId="0" fontId="7" numFmtId="0" xfId="0" applyAlignment="1" applyBorder="1" applyFont="1">
      <alignment horizontal="right" readingOrder="0" vertical="bottom"/>
    </xf>
    <xf borderId="2" fillId="0" fontId="6" numFmtId="164" xfId="0" applyAlignment="1" applyBorder="1" applyFont="1" applyNumberFormat="1">
      <alignment horizontal="right" readingOrder="0" vertical="bottom"/>
    </xf>
    <xf borderId="2" fillId="0" fontId="6" numFmtId="20" xfId="0" applyAlignment="1" applyBorder="1" applyFont="1" applyNumberFormat="1">
      <alignment horizontal="right" readingOrder="0" vertical="bottom"/>
    </xf>
    <xf borderId="2" fillId="0" fontId="7" numFmtId="0" xfId="0" applyAlignment="1" applyBorder="1" applyFont="1">
      <alignment horizontal="right" readingOrder="0" vertical="bottom"/>
    </xf>
    <xf borderId="2" fillId="0" fontId="7" numFmtId="0" xfId="0" applyAlignment="1" applyBorder="1" applyFont="1">
      <alignment vertical="bottom"/>
    </xf>
    <xf borderId="2" fillId="0" fontId="7" numFmtId="0" xfId="0" applyAlignment="1" applyBorder="1" applyFont="1">
      <alignment readingOrder="0" vertical="bottom"/>
    </xf>
    <xf borderId="1" fillId="0" fontId="7" numFmtId="0" xfId="0" applyAlignment="1" applyBorder="1" applyFont="1">
      <alignment horizontal="left" readingOrder="0"/>
    </xf>
    <xf borderId="1" fillId="0" fontId="6" numFmtId="164" xfId="0" applyAlignment="1" applyBorder="1" applyFont="1" applyNumberFormat="1">
      <alignment horizontal="right" readingOrder="0" shrinkToFit="0" vertical="bottom" wrapText="0"/>
    </xf>
    <xf borderId="1" fillId="0" fontId="6" numFmtId="20" xfId="0" applyAlignment="1" applyBorder="1" applyFont="1" applyNumberFormat="1">
      <alignment horizontal="right" readingOrder="0" shrinkToFit="0" vertical="bottom" wrapText="0"/>
    </xf>
    <xf borderId="1" fillId="0" fontId="7" numFmtId="0" xfId="0" applyAlignment="1" applyBorder="1" applyFont="1">
      <alignment horizontal="left" vertical="top"/>
    </xf>
    <xf borderId="4" fillId="2" fontId="7" numFmtId="0" xfId="0" applyAlignment="1" applyBorder="1" applyFont="1">
      <alignment horizontal="left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1.14"/>
    <col customWidth="1" min="2" max="2" width="31.86"/>
    <col customWidth="1" min="3" max="3" width="15.71"/>
    <col customWidth="1" min="4" max="5" width="21.43"/>
    <col customWidth="1" min="6" max="6" width="29.57"/>
    <col customWidth="1" min="7" max="7" width="23.14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3" t="s">
        <v>7</v>
      </c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>
        <f>IFERROR(__xludf.DUMMYFUNCTION("IMPORTRANGE(""https://docs.google.com/spreadsheets/d/1w2Q_h27-WwufhleOLd1SE_ltiJ0HH6xuRaZLXLmMKao/edit?usp=sharing"",""рега!c4:j125"")"),1.0)</f>
        <v>1</v>
      </c>
      <c r="B2" s="8" t="str">
        <f>IFERROR(__xludf.DUMMYFUNCTION("""COMPUTED_VALUE"""),"[oH] 2x25")</f>
        <v>[oH] 2x25</v>
      </c>
      <c r="C2" s="8">
        <f>IFERROR(__xludf.DUMMYFUNCTION("""COMPUTED_VALUE"""),60.0)</f>
        <v>60</v>
      </c>
      <c r="D2" s="8" t="str">
        <f>IFERROR(__xludf.DUMMYFUNCTION("""COMPUTED_VALUE"""),"Дневной")</f>
        <v>Дневной</v>
      </c>
      <c r="E2" s="8" t="str">
        <f>IFERROR(__xludf.DUMMYFUNCTION("""COMPUTED_VALUE"""),"Левенчук Николай")</f>
        <v>Левенчук Николай</v>
      </c>
      <c r="F2" s="8" t="str">
        <f>IFERROR(__xludf.DUMMYFUNCTION("""COMPUTED_VALUE"""),"Архипова Елена")</f>
        <v>Архипова Елена</v>
      </c>
      <c r="G2" s="8"/>
      <c r="H2" s="8"/>
    </row>
    <row r="3">
      <c r="A3" s="7">
        <f>IFERROR(__xludf.DUMMYFUNCTION("""COMPUTED_VALUE"""),2.0)</f>
        <v>2</v>
      </c>
      <c r="B3" s="8" t="str">
        <f>IFERROR(__xludf.DUMMYFUNCTION("""COMPUTED_VALUE"""),"[oH] Kubalibre")</f>
        <v>[oH] Kubalibre</v>
      </c>
      <c r="C3" s="8">
        <f>IFERROR(__xludf.DUMMYFUNCTION("""COMPUTED_VALUE"""),40.0)</f>
        <v>40</v>
      </c>
      <c r="D3" s="8" t="str">
        <f>IFERROR(__xludf.DUMMYFUNCTION("""COMPUTED_VALUE"""),"Дневной")</f>
        <v>Дневной</v>
      </c>
      <c r="E3" s="8" t="str">
        <f>IFERROR(__xludf.DUMMYFUNCTION("""COMPUTED_VALUE"""),"Бондаренко Евгений ")</f>
        <v>Бондаренко Евгений </v>
      </c>
      <c r="F3" s="8" t="str">
        <f>IFERROR(__xludf.DUMMYFUNCTION("""COMPUTED_VALUE"""),"Катёнок")</f>
        <v>Катёнок</v>
      </c>
      <c r="G3" s="8"/>
      <c r="H3" s="8">
        <f>IFERROR(__xludf.DUMMYFUNCTION("""COMPUTED_VALUE"""),2.0)</f>
        <v>2</v>
      </c>
    </row>
    <row r="4">
      <c r="A4" s="7">
        <f>IFERROR(__xludf.DUMMYFUNCTION("""COMPUTED_VALUE"""),3.0)</f>
        <v>3</v>
      </c>
      <c r="B4" s="8" t="str">
        <f>IFERROR(__xludf.DUMMYFUNCTION("""COMPUTED_VALUE"""),"[oH] Фордевинд")</f>
        <v>[oH] Фордевинд</v>
      </c>
      <c r="C4" s="8">
        <f>IFERROR(__xludf.DUMMYFUNCTION("""COMPUTED_VALUE"""),40.0)</f>
        <v>40</v>
      </c>
      <c r="D4" s="8" t="str">
        <f>IFERROR(__xludf.DUMMYFUNCTION("""COMPUTED_VALUE"""),"Дневной")</f>
        <v>Дневной</v>
      </c>
      <c r="E4" s="8" t="str">
        <f>IFERROR(__xludf.DUMMYFUNCTION("""COMPUTED_VALUE"""),"Листопадов Николай")</f>
        <v>Листопадов Николай</v>
      </c>
      <c r="F4" s="8"/>
      <c r="G4" s="8"/>
      <c r="H4" s="8"/>
    </row>
    <row r="5">
      <c r="A5" s="7">
        <f>IFERROR(__xludf.DUMMYFUNCTION("""COMPUTED_VALUE"""),5.0)</f>
        <v>5</v>
      </c>
      <c r="B5" s="8"/>
      <c r="C5" s="8">
        <f>IFERROR(__xludf.DUMMYFUNCTION("""COMPUTED_VALUE"""),30.0)</f>
        <v>30</v>
      </c>
      <c r="D5" s="8" t="str">
        <f>IFERROR(__xludf.DUMMYFUNCTION("""COMPUTED_VALUE"""),"Дневной")</f>
        <v>Дневной</v>
      </c>
      <c r="E5" s="8" t="str">
        <f>IFERROR(__xludf.DUMMYFUNCTION("""COMPUTED_VALUE"""),"Дьяконов Михаил")</f>
        <v>Дьяконов Михаил</v>
      </c>
      <c r="F5" s="8"/>
      <c r="G5" s="8"/>
      <c r="H5" s="8"/>
    </row>
    <row r="6">
      <c r="A6" s="7">
        <f>IFERROR(__xludf.DUMMYFUNCTION("""COMPUTED_VALUE"""),6.0)</f>
        <v>6</v>
      </c>
      <c r="B6" s="8" t="str">
        <f>IFERROR(__xludf.DUMMYFUNCTION("""COMPUTED_VALUE"""),"Диванные лоси")</f>
        <v>Диванные лоси</v>
      </c>
      <c r="C6" s="8">
        <f>IFERROR(__xludf.DUMMYFUNCTION("""COMPUTED_VALUE"""),100.0)</f>
        <v>100</v>
      </c>
      <c r="D6" s="8" t="str">
        <f>IFERROR(__xludf.DUMMYFUNCTION("""COMPUTED_VALUE"""),"Ночной, старт в пятницу")</f>
        <v>Ночной, старт в пятницу</v>
      </c>
      <c r="E6" s="8" t="str">
        <f>IFERROR(__xludf.DUMMYFUNCTION("""COMPUTED_VALUE"""),"Серговский Иван")</f>
        <v>Серговский Иван</v>
      </c>
      <c r="F6" s="8"/>
      <c r="G6" s="8"/>
      <c r="H6" s="8"/>
    </row>
    <row r="7">
      <c r="A7" s="7">
        <f>IFERROR(__xludf.DUMMYFUNCTION("""COMPUTED_VALUE"""),7.0)</f>
        <v>7</v>
      </c>
      <c r="B7" s="8" t="str">
        <f>IFERROR(__xludf.DUMMYFUNCTION("""COMPUTED_VALUE"""),"Маршал")</f>
        <v>Маршал</v>
      </c>
      <c r="C7" s="8">
        <f>IFERROR(__xludf.DUMMYFUNCTION("""COMPUTED_VALUE"""),40.0)</f>
        <v>40</v>
      </c>
      <c r="D7" s="8" t="str">
        <f>IFERROR(__xludf.DUMMYFUNCTION("""COMPUTED_VALUE"""),"Дневной")</f>
        <v>Дневной</v>
      </c>
      <c r="E7" s="8" t="str">
        <f>IFERROR(__xludf.DUMMYFUNCTION("""COMPUTED_VALUE"""),"Максим Андреев")</f>
        <v>Максим Андреев</v>
      </c>
      <c r="F7" s="8"/>
      <c r="G7" s="8"/>
      <c r="H7" s="8"/>
    </row>
    <row r="8">
      <c r="A8" s="7">
        <f>IFERROR(__xludf.DUMMYFUNCTION("""COMPUTED_VALUE"""),8.0)</f>
        <v>8</v>
      </c>
      <c r="B8" s="8" t="str">
        <f>IFERROR(__xludf.DUMMYFUNCTION("""COMPUTED_VALUE"""),"новичок")</f>
        <v>новичок</v>
      </c>
      <c r="C8" s="8">
        <f>IFERROR(__xludf.DUMMYFUNCTION("""COMPUTED_VALUE"""),30.0)</f>
        <v>30</v>
      </c>
      <c r="D8" s="8" t="str">
        <f>IFERROR(__xludf.DUMMYFUNCTION("""COMPUTED_VALUE"""),"Дневной")</f>
        <v>Дневной</v>
      </c>
      <c r="E8" s="8" t="str">
        <f>IFERROR(__xludf.DUMMYFUNCTION("""COMPUTED_VALUE"""),"Нина Филиппова")</f>
        <v>Нина Филиппова</v>
      </c>
      <c r="F8" s="8" t="str">
        <f>IFERROR(__xludf.DUMMYFUNCTION("""COMPUTED_VALUE"""),"Белоусов Сергей")</f>
        <v>Белоусов Сергей</v>
      </c>
      <c r="G8" s="8"/>
      <c r="H8" s="8"/>
    </row>
    <row r="9">
      <c r="A9" s="7">
        <f>IFERROR(__xludf.DUMMYFUNCTION("""COMPUTED_VALUE"""),9.0)</f>
        <v>9</v>
      </c>
      <c r="B9" s="8" t="str">
        <f>IFERROR(__xludf.DUMMYFUNCTION("""COMPUTED_VALUE"""),"Нет команды")</f>
        <v>Нет команды</v>
      </c>
      <c r="C9" s="8">
        <f>IFERROR(__xludf.DUMMYFUNCTION("""COMPUTED_VALUE"""),60.0)</f>
        <v>60</v>
      </c>
      <c r="D9" s="8" t="str">
        <f>IFERROR(__xludf.DUMMYFUNCTION("""COMPUTED_VALUE"""),"Дневной")</f>
        <v>Дневной</v>
      </c>
      <c r="E9" s="8" t="str">
        <f>IFERROR(__xludf.DUMMYFUNCTION("""COMPUTED_VALUE"""),"Краснов Дмитрий")</f>
        <v>Краснов Дмитрий</v>
      </c>
      <c r="F9" s="8"/>
      <c r="G9" s="8"/>
      <c r="H9" s="8"/>
    </row>
    <row r="10">
      <c r="A10" s="7">
        <f>IFERROR(__xludf.DUMMYFUNCTION("""COMPUTED_VALUE"""),10.0)</f>
        <v>10</v>
      </c>
      <c r="B10" s="8"/>
      <c r="C10" s="8">
        <f>IFERROR(__xludf.DUMMYFUNCTION("""COMPUTED_VALUE"""),100.0)</f>
        <v>100</v>
      </c>
      <c r="D10" s="8" t="str">
        <f>IFERROR(__xludf.DUMMYFUNCTION("""COMPUTED_VALUE"""),"Дневной")</f>
        <v>Дневной</v>
      </c>
      <c r="E10" s="8" t="str">
        <f>IFERROR(__xludf.DUMMYFUNCTION("""COMPUTED_VALUE"""),"Дмитрий Луговой")</f>
        <v>Дмитрий Луговой</v>
      </c>
      <c r="F10" s="8"/>
      <c r="G10" s="8"/>
      <c r="H10" s="8"/>
    </row>
    <row r="11">
      <c r="A11" s="7">
        <f>IFERROR(__xludf.DUMMYFUNCTION("""COMPUTED_VALUE"""),11.0)</f>
        <v>11</v>
      </c>
      <c r="B11" s="8" t="str">
        <f>IFERROR(__xludf.DUMMYFUNCTION("""COMPUTED_VALUE"""),"Abris-korolev")</f>
        <v>Abris-korolev</v>
      </c>
      <c r="C11" s="8">
        <f>IFERROR(__xludf.DUMMYFUNCTION("""COMPUTED_VALUE"""),30.0)</f>
        <v>30</v>
      </c>
      <c r="D11" s="8" t="str">
        <f>IFERROR(__xludf.DUMMYFUNCTION("""COMPUTED_VALUE"""),"Дневной")</f>
        <v>Дневной</v>
      </c>
      <c r="E11" s="8" t="str">
        <f>IFERROR(__xludf.DUMMYFUNCTION("""COMPUTED_VALUE"""),"Иванов Владимир")</f>
        <v>Иванов Владимир</v>
      </c>
      <c r="F11" s="8"/>
      <c r="G11" s="8"/>
      <c r="H11" s="8"/>
    </row>
    <row r="12">
      <c r="A12" s="7">
        <f>IFERROR(__xludf.DUMMYFUNCTION("""COMPUTED_VALUE"""),12.0)</f>
        <v>12</v>
      </c>
      <c r="B12" s="8" t="str">
        <f>IFERROR(__xludf.DUMMYFUNCTION("""COMPUTED_VALUE"""),"Чип и гайка")</f>
        <v>Чип и гайка</v>
      </c>
      <c r="C12" s="8">
        <f>IFERROR(__xludf.DUMMYFUNCTION("""COMPUTED_VALUE"""),30.0)</f>
        <v>30</v>
      </c>
      <c r="D12" s="8" t="str">
        <f>IFERROR(__xludf.DUMMYFUNCTION("""COMPUTED_VALUE"""),"Дневной")</f>
        <v>Дневной</v>
      </c>
      <c r="E12" s="8" t="str">
        <f>IFERROR(__xludf.DUMMYFUNCTION("""COMPUTED_VALUE"""),"Илья")</f>
        <v>Илья</v>
      </c>
      <c r="F12" s="8" t="str">
        <f>IFERROR(__xludf.DUMMYFUNCTION("""COMPUTED_VALUE""")," ")</f>
        <v> </v>
      </c>
      <c r="G12" s="8"/>
      <c r="H12" s="8"/>
    </row>
    <row r="13">
      <c r="A13" s="7">
        <f>IFERROR(__xludf.DUMMYFUNCTION("""COMPUTED_VALUE"""),13.0)</f>
        <v>13</v>
      </c>
      <c r="B13" s="8" t="str">
        <f>IFERROR(__xludf.DUMMYFUNCTION("""COMPUTED_VALUE"""),"Красовка")</f>
        <v>Красовка</v>
      </c>
      <c r="C13" s="8">
        <f>IFERROR(__xludf.DUMMYFUNCTION("""COMPUTED_VALUE"""),30.0)</f>
        <v>30</v>
      </c>
      <c r="D13" s="8" t="str">
        <f>IFERROR(__xludf.DUMMYFUNCTION("""COMPUTED_VALUE"""),"Дневной")</f>
        <v>Дневной</v>
      </c>
      <c r="E13" s="8" t="str">
        <f>IFERROR(__xludf.DUMMYFUNCTION("""COMPUTED_VALUE"""),"Ольга Кравцова ")</f>
        <v>Ольга Кравцова </v>
      </c>
      <c r="F13" s="8"/>
      <c r="G13" s="8"/>
      <c r="H13" s="8">
        <f>IFERROR(__xludf.DUMMYFUNCTION("""COMPUTED_VALUE"""),1.0)</f>
        <v>1</v>
      </c>
    </row>
    <row r="14">
      <c r="A14" s="7">
        <f>IFERROR(__xludf.DUMMYFUNCTION("""COMPUTED_VALUE"""),14.0)</f>
        <v>14</v>
      </c>
      <c r="B14" s="8" t="str">
        <f>IFERROR(__xludf.DUMMYFUNCTION("""COMPUTED_VALUE"""),"Johnnie Runners")</f>
        <v>Johnnie Runners</v>
      </c>
      <c r="C14" s="8">
        <f>IFERROR(__xludf.DUMMYFUNCTION("""COMPUTED_VALUE"""),100.0)</f>
        <v>100</v>
      </c>
      <c r="D14" s="8" t="str">
        <f>IFERROR(__xludf.DUMMYFUNCTION("""COMPUTED_VALUE"""),"Дневной")</f>
        <v>Дневной</v>
      </c>
      <c r="E14" s="8" t="str">
        <f>IFERROR(__xludf.DUMMYFUNCTION("""COMPUTED_VALUE"""),"Johnnie Runners")</f>
        <v>Johnnie Runners</v>
      </c>
      <c r="F14" s="8"/>
      <c r="G14" s="8"/>
      <c r="H14" s="8"/>
    </row>
    <row r="15">
      <c r="A15" s="7">
        <f>IFERROR(__xludf.DUMMYFUNCTION("""COMPUTED_VALUE"""),15.0)</f>
        <v>15</v>
      </c>
      <c r="B15" s="8" t="str">
        <f>IFERROR(__xludf.DUMMYFUNCTION("""COMPUTED_VALUE"""),"Свидетели подводных мостов")</f>
        <v>Свидетели подводных мостов</v>
      </c>
      <c r="C15" s="8">
        <f>IFERROR(__xludf.DUMMYFUNCTION("""COMPUTED_VALUE"""),100.0)</f>
        <v>100</v>
      </c>
      <c r="D15" s="8" t="str">
        <f>IFERROR(__xludf.DUMMYFUNCTION("""COMPUTED_VALUE"""),"Ночной, старт в пятницу")</f>
        <v>Ночной, старт в пятницу</v>
      </c>
      <c r="E15" s="8" t="str">
        <f>IFERROR(__xludf.DUMMYFUNCTION("""COMPUTED_VALUE"""),"Толстиков Александо")</f>
        <v>Толстиков Александо</v>
      </c>
      <c r="F15" s="8" t="str">
        <f>IFERROR(__xludf.DUMMYFUNCTION("""COMPUTED_VALUE"""),"Дерябин Андрей")</f>
        <v>Дерябин Андрей</v>
      </c>
      <c r="G15" s="8"/>
      <c r="H15" s="8">
        <f>IFERROR(__xludf.DUMMYFUNCTION("""COMPUTED_VALUE"""),2.0)</f>
        <v>2</v>
      </c>
    </row>
    <row r="16">
      <c r="A16" s="7">
        <f>IFERROR(__xludf.DUMMYFUNCTION("""COMPUTED_VALUE"""),16.0)</f>
        <v>16</v>
      </c>
      <c r="B16" s="8" t="str">
        <f>IFERROR(__xludf.DUMMYFUNCTION("""COMPUTED_VALUE"""),"Слоники")</f>
        <v>Слоники</v>
      </c>
      <c r="C16" s="8">
        <f>IFERROR(__xludf.DUMMYFUNCTION("""COMPUTED_VALUE"""),40.0)</f>
        <v>40</v>
      </c>
      <c r="D16" s="8" t="str">
        <f>IFERROR(__xludf.DUMMYFUNCTION("""COMPUTED_VALUE"""),"Дневной")</f>
        <v>Дневной</v>
      </c>
      <c r="E16" s="8" t="str">
        <f>IFERROR(__xludf.DUMMYFUNCTION("""COMPUTED_VALUE"""),"Трубицина виктория ")</f>
        <v>Трубицина виктория </v>
      </c>
      <c r="F16" s="8" t="str">
        <f>IFERROR(__xludf.DUMMYFUNCTION("""COMPUTED_VALUE"""),"Рябов Андрей ")</f>
        <v>Рябов Андрей </v>
      </c>
      <c r="G16" s="8"/>
      <c r="H16" s="8"/>
    </row>
    <row r="17">
      <c r="A17" s="7">
        <f>IFERROR(__xludf.DUMMYFUNCTION("""COMPUTED_VALUE"""),17.0)</f>
        <v>17</v>
      </c>
      <c r="B17" s="8" t="str">
        <f>IFERROR(__xludf.DUMMYFUNCTION("""COMPUTED_VALUE"""),"Орден трехлитровых котлов")</f>
        <v>Орден трехлитровых котлов</v>
      </c>
      <c r="C17" s="8">
        <f>IFERROR(__xludf.DUMMYFUNCTION("""COMPUTED_VALUE"""),30.0)</f>
        <v>30</v>
      </c>
      <c r="D17" s="8" t="str">
        <f>IFERROR(__xludf.DUMMYFUNCTION("""COMPUTED_VALUE"""),"Дневной")</f>
        <v>Дневной</v>
      </c>
      <c r="E17" s="8" t="str">
        <f>IFERROR(__xludf.DUMMYFUNCTION("""COMPUTED_VALUE"""),"Капарулин Ефим")</f>
        <v>Капарулин Ефим</v>
      </c>
      <c r="F17" s="8"/>
      <c r="G17" s="8"/>
      <c r="H17" s="8"/>
    </row>
    <row r="18">
      <c r="A18" s="7">
        <f>IFERROR(__xludf.DUMMYFUNCTION("""COMPUTED_VALUE"""),18.0)</f>
        <v>18</v>
      </c>
      <c r="B18" s="8"/>
      <c r="C18" s="8">
        <f>IFERROR(__xludf.DUMMYFUNCTION("""COMPUTED_VALUE"""),30.0)</f>
        <v>30</v>
      </c>
      <c r="D18" s="8" t="str">
        <f>IFERROR(__xludf.DUMMYFUNCTION("""COMPUTED_VALUE"""),"Дневной")</f>
        <v>Дневной</v>
      </c>
      <c r="E18" s="8" t="str">
        <f>IFERROR(__xludf.DUMMYFUNCTION("""COMPUTED_VALUE"""),"Константин Пинкус")</f>
        <v>Константин Пинкус</v>
      </c>
      <c r="F18" s="8"/>
      <c r="G18" s="8"/>
      <c r="H18" s="8"/>
    </row>
    <row r="19">
      <c r="A19" s="7">
        <f>IFERROR(__xludf.DUMMYFUNCTION("""COMPUTED_VALUE"""),19.0)</f>
        <v>19</v>
      </c>
      <c r="B19" s="8"/>
      <c r="C19" s="8">
        <f>IFERROR(__xludf.DUMMYFUNCTION("""COMPUTED_VALUE"""),100.0)</f>
        <v>100</v>
      </c>
      <c r="D19" s="8" t="str">
        <f>IFERROR(__xludf.DUMMYFUNCTION("""COMPUTED_VALUE"""),"Дневной")</f>
        <v>Дневной</v>
      </c>
      <c r="E19" s="8" t="str">
        <f>IFERROR(__xludf.DUMMYFUNCTION("""COMPUTED_VALUE"""),"Дочкин")</f>
        <v>Дочкин</v>
      </c>
      <c r="F19" s="8"/>
      <c r="G19" s="8"/>
      <c r="H19" s="8">
        <f>IFERROR(__xludf.DUMMYFUNCTION("""COMPUTED_VALUE"""),1.0)</f>
        <v>1</v>
      </c>
    </row>
    <row r="20">
      <c r="A20" s="7">
        <f>IFERROR(__xludf.DUMMYFUNCTION("""COMPUTED_VALUE"""),20.0)</f>
        <v>20</v>
      </c>
      <c r="B20" s="8"/>
      <c r="C20" s="8">
        <f>IFERROR(__xludf.DUMMYFUNCTION("""COMPUTED_VALUE"""),40.0)</f>
        <v>40</v>
      </c>
      <c r="D20" s="8" t="str">
        <f>IFERROR(__xludf.DUMMYFUNCTION("""COMPUTED_VALUE"""),"Ночной, старт в пятницу")</f>
        <v>Ночной, старт в пятницу</v>
      </c>
      <c r="E20" s="8" t="str">
        <f>IFERROR(__xludf.DUMMYFUNCTION("""COMPUTED_VALUE"""),"Григорий Троицкий")</f>
        <v>Григорий Троицкий</v>
      </c>
      <c r="F20" s="8"/>
      <c r="G20" s="8"/>
      <c r="H20" s="8">
        <f>IFERROR(__xludf.DUMMYFUNCTION("""COMPUTED_VALUE"""),1.0)</f>
        <v>1</v>
      </c>
    </row>
    <row r="21">
      <c r="A21" s="7">
        <f>IFERROR(__xludf.DUMMYFUNCTION("""COMPUTED_VALUE"""),21.0)</f>
        <v>21</v>
      </c>
      <c r="B21" s="8" t="str">
        <f>IFERROR(__xludf.DUMMYFUNCTION("""COMPUTED_VALUE"""),"Злой Медвед и Пыхтачок")</f>
        <v>Злой Медвед и Пыхтачок</v>
      </c>
      <c r="C21" s="8">
        <f>IFERROR(__xludf.DUMMYFUNCTION("""COMPUTED_VALUE"""),60.0)</f>
        <v>60</v>
      </c>
      <c r="D21" s="8" t="str">
        <f>IFERROR(__xludf.DUMMYFUNCTION("""COMPUTED_VALUE"""),"Дневной")</f>
        <v>Дневной</v>
      </c>
      <c r="E21" s="8" t="str">
        <f>IFERROR(__xludf.DUMMYFUNCTION("""COMPUTED_VALUE"""),"Иван")</f>
        <v>Иван</v>
      </c>
      <c r="F21" s="8" t="str">
        <f>IFERROR(__xludf.DUMMYFUNCTION("""COMPUTED_VALUE"""),"Александр")</f>
        <v>Александр</v>
      </c>
      <c r="G21" s="8"/>
      <c r="H21" s="8"/>
    </row>
    <row r="22">
      <c r="A22" s="7">
        <f>IFERROR(__xludf.DUMMYFUNCTION("""COMPUTED_VALUE"""),22.0)</f>
        <v>22</v>
      </c>
      <c r="B22" s="8"/>
      <c r="C22" s="8">
        <f>IFERROR(__xludf.DUMMYFUNCTION("""COMPUTED_VALUE"""),60.0)</f>
        <v>60</v>
      </c>
      <c r="D22" s="8" t="str">
        <f>IFERROR(__xludf.DUMMYFUNCTION("""COMPUTED_VALUE"""),"Ночной, старт в пятницу")</f>
        <v>Ночной, старт в пятницу</v>
      </c>
      <c r="E22" s="8" t="str">
        <f>IFERROR(__xludf.DUMMYFUNCTION("""COMPUTED_VALUE"""),"Иванов Андрей")</f>
        <v>Иванов Андрей</v>
      </c>
      <c r="F22" s="8"/>
      <c r="G22" s="8"/>
      <c r="H22" s="8"/>
    </row>
    <row r="23">
      <c r="A23" s="7">
        <f>IFERROR(__xludf.DUMMYFUNCTION("""COMPUTED_VALUE"""),23.0)</f>
        <v>23</v>
      </c>
      <c r="B23" s="8" t="str">
        <f>IFERROR(__xludf.DUMMYFUNCTION("""COMPUTED_VALUE"""),"Геннадий 2345")</f>
        <v>Геннадий 2345</v>
      </c>
      <c r="C23" s="8">
        <f>IFERROR(__xludf.DUMMYFUNCTION("""COMPUTED_VALUE"""),100.0)</f>
        <v>100</v>
      </c>
      <c r="D23" s="8" t="str">
        <f>IFERROR(__xludf.DUMMYFUNCTION("""COMPUTED_VALUE"""),"Ночной, старт в пятницу")</f>
        <v>Ночной, старт в пятницу</v>
      </c>
      <c r="E23" s="8" t="str">
        <f>IFERROR(__xludf.DUMMYFUNCTION("""COMPUTED_VALUE"""),"Попов Геннадий ")</f>
        <v>Попов Геннадий </v>
      </c>
      <c r="F23" s="8"/>
      <c r="G23" s="8"/>
      <c r="H23" s="8">
        <f>IFERROR(__xludf.DUMMYFUNCTION("""COMPUTED_VALUE"""),1.0)</f>
        <v>1</v>
      </c>
    </row>
    <row r="24">
      <c r="A24" s="7">
        <f>IFERROR(__xludf.DUMMYFUNCTION("""COMPUTED_VALUE"""),24.0)</f>
        <v>24</v>
      </c>
      <c r="B24" s="8" t="str">
        <f>IFERROR(__xludf.DUMMYFUNCTION("""COMPUTED_VALUE"""),"Солнышко")</f>
        <v>Солнышко</v>
      </c>
      <c r="C24" s="8">
        <f>IFERROR(__xludf.DUMMYFUNCTION("""COMPUTED_VALUE"""),30.0)</f>
        <v>30</v>
      </c>
      <c r="D24" s="8" t="str">
        <f>IFERROR(__xludf.DUMMYFUNCTION("""COMPUTED_VALUE"""),"Дневной")</f>
        <v>Дневной</v>
      </c>
      <c r="E24" s="8" t="str">
        <f>IFERROR(__xludf.DUMMYFUNCTION("""COMPUTED_VALUE"""),"Леванова Ольга")</f>
        <v>Леванова Ольга</v>
      </c>
      <c r="F24" s="8" t="str">
        <f>IFERROR(__xludf.DUMMYFUNCTION("""COMPUTED_VALUE"""),"Леванов Александр")</f>
        <v>Леванов Александр</v>
      </c>
      <c r="G24" s="8"/>
      <c r="H24" s="8"/>
    </row>
    <row r="25">
      <c r="A25" s="7">
        <f>IFERROR(__xludf.DUMMYFUNCTION("""COMPUTED_VALUE"""),26.0)</f>
        <v>26</v>
      </c>
      <c r="B25" s="8" t="str">
        <f>IFERROR(__xludf.DUMMYFUNCTION("""COMPUTED_VALUE"""),"31-я весна")</f>
        <v>31-я весна</v>
      </c>
      <c r="C25" s="8">
        <f>IFERROR(__xludf.DUMMYFUNCTION("""COMPUTED_VALUE"""),30.0)</f>
        <v>30</v>
      </c>
      <c r="D25" s="8" t="str">
        <f>IFERROR(__xludf.DUMMYFUNCTION("""COMPUTED_VALUE"""),"Дневной")</f>
        <v>Дневной</v>
      </c>
      <c r="E25" s="8" t="str">
        <f>IFERROR(__xludf.DUMMYFUNCTION("""COMPUTED_VALUE"""),"Олег Кузьмичев")</f>
        <v>Олег Кузьмичев</v>
      </c>
      <c r="F25" s="8"/>
      <c r="G25" s="8"/>
      <c r="H25" s="8"/>
    </row>
    <row r="26">
      <c r="A26" s="7">
        <f>IFERROR(__xludf.DUMMYFUNCTION("""COMPUTED_VALUE"""),27.0)</f>
        <v>27</v>
      </c>
      <c r="B26" s="8" t="str">
        <f>IFERROR(__xludf.DUMMYFUNCTION("""COMPUTED_VALUE"""),"Бабай-Шагай")</f>
        <v>Бабай-Шагай</v>
      </c>
      <c r="C26" s="8">
        <f>IFERROR(__xludf.DUMMYFUNCTION("""COMPUTED_VALUE"""),30.0)</f>
        <v>30</v>
      </c>
      <c r="D26" s="8" t="str">
        <f>IFERROR(__xludf.DUMMYFUNCTION("""COMPUTED_VALUE"""),"Дневной")</f>
        <v>Дневной</v>
      </c>
      <c r="E26" s="8" t="str">
        <f>IFERROR(__xludf.DUMMYFUNCTION("""COMPUTED_VALUE"""),"Дмитрий Кузьмичев")</f>
        <v>Дмитрий Кузьмичев</v>
      </c>
      <c r="F26" s="8" t="str">
        <f>IFERROR(__xludf.DUMMYFUNCTION("""COMPUTED_VALUE"""),"Анна Кузьмичева")</f>
        <v>Анна Кузьмичева</v>
      </c>
      <c r="G26" s="8"/>
      <c r="H26" s="8"/>
    </row>
    <row r="27">
      <c r="A27" s="7">
        <f>IFERROR(__xludf.DUMMYFUNCTION("""COMPUTED_VALUE"""),28.0)</f>
        <v>28</v>
      </c>
      <c r="B27" s="8" t="str">
        <f>IFERROR(__xludf.DUMMYFUNCTION("""COMPUTED_VALUE"""),"Черные бурундуки")</f>
        <v>Черные бурундуки</v>
      </c>
      <c r="C27" s="8">
        <f>IFERROR(__xludf.DUMMYFUNCTION("""COMPUTED_VALUE"""),100.0)</f>
        <v>100</v>
      </c>
      <c r="D27" s="8" t="str">
        <f>IFERROR(__xludf.DUMMYFUNCTION("""COMPUTED_VALUE"""),"Ночной, старт в пятницу")</f>
        <v>Ночной, старт в пятницу</v>
      </c>
      <c r="E27" s="8" t="str">
        <f>IFERROR(__xludf.DUMMYFUNCTION("""COMPUTED_VALUE"""),"Дамарад Александр")</f>
        <v>Дамарад Александр</v>
      </c>
      <c r="F27" s="8"/>
      <c r="G27" s="8"/>
      <c r="H27" s="8">
        <f>IFERROR(__xludf.DUMMYFUNCTION("""COMPUTED_VALUE"""),1.0)</f>
        <v>1</v>
      </c>
    </row>
    <row r="28">
      <c r="A28" s="7">
        <f>IFERROR(__xludf.DUMMYFUNCTION("""COMPUTED_VALUE"""),29.0)</f>
        <v>29</v>
      </c>
      <c r="B28" s="8" t="str">
        <f>IFERROR(__xludf.DUMMYFUNCTION("""COMPUTED_VALUE"""),"Caramba 100km.ru")</f>
        <v>Caramba 100km.ru</v>
      </c>
      <c r="C28" s="8">
        <f>IFERROR(__xludf.DUMMYFUNCTION("""COMPUTED_VALUE"""),30.0)</f>
        <v>30</v>
      </c>
      <c r="D28" s="8" t="str">
        <f>IFERROR(__xludf.DUMMYFUNCTION("""COMPUTED_VALUE"""),"Дневной")</f>
        <v>Дневной</v>
      </c>
      <c r="E28" s="8" t="str">
        <f>IFERROR(__xludf.DUMMYFUNCTION("""COMPUTED_VALUE"""),"Гришин Дмитрий")</f>
        <v>Гришин Дмитрий</v>
      </c>
      <c r="F28" s="8"/>
      <c r="G28" s="8"/>
      <c r="H28" s="8"/>
    </row>
    <row r="29">
      <c r="A29" s="7">
        <f>IFERROR(__xludf.DUMMYFUNCTION("""COMPUTED_VALUE"""),30.0)</f>
        <v>30</v>
      </c>
      <c r="B29" s="8"/>
      <c r="C29" s="8">
        <f>IFERROR(__xludf.DUMMYFUNCTION("""COMPUTED_VALUE"""),30.0)</f>
        <v>30</v>
      </c>
      <c r="D29" s="8" t="str">
        <f>IFERROR(__xludf.DUMMYFUNCTION("""COMPUTED_VALUE"""),"Дневной")</f>
        <v>Дневной</v>
      </c>
      <c r="E29" s="8" t="str">
        <f>IFERROR(__xludf.DUMMYFUNCTION("""COMPUTED_VALUE"""),"Ольга Котляр")</f>
        <v>Ольга Котляр</v>
      </c>
      <c r="F29" s="8"/>
      <c r="G29" s="8"/>
      <c r="H29" s="8"/>
    </row>
    <row r="30">
      <c r="A30" s="7">
        <f>IFERROR(__xludf.DUMMYFUNCTION("""COMPUTED_VALUE"""),31.0)</f>
        <v>31</v>
      </c>
      <c r="B30" s="8"/>
      <c r="C30" s="8">
        <f>IFERROR(__xludf.DUMMYFUNCTION("""COMPUTED_VALUE"""),100.0)</f>
        <v>100</v>
      </c>
      <c r="D30" s="8" t="str">
        <f>IFERROR(__xludf.DUMMYFUNCTION("""COMPUTED_VALUE"""),"Дневной")</f>
        <v>Дневной</v>
      </c>
      <c r="E30" s="8" t="str">
        <f>IFERROR(__xludf.DUMMYFUNCTION("""COMPUTED_VALUE"""),"Некрасова Екатерина")</f>
        <v>Некрасова Екатерина</v>
      </c>
      <c r="F30" s="8"/>
      <c r="G30" s="8"/>
      <c r="H30" s="8"/>
    </row>
    <row r="31">
      <c r="A31" s="7">
        <f>IFERROR(__xludf.DUMMYFUNCTION("""COMPUTED_VALUE"""),32.0)</f>
        <v>32</v>
      </c>
      <c r="B31" s="8" t="str">
        <f>IFERROR(__xludf.DUMMYFUNCTION("""COMPUTED_VALUE"""),"Sunny Team")</f>
        <v>Sunny Team</v>
      </c>
      <c r="C31" s="8">
        <f>IFERROR(__xludf.DUMMYFUNCTION("""COMPUTED_VALUE"""),100.0)</f>
        <v>100</v>
      </c>
      <c r="D31" s="8" t="str">
        <f>IFERROR(__xludf.DUMMYFUNCTION("""COMPUTED_VALUE"""),"Ночной, старт в пятницу")</f>
        <v>Ночной, старт в пятницу</v>
      </c>
      <c r="E31" s="8" t="str">
        <f>IFERROR(__xludf.DUMMYFUNCTION("""COMPUTED_VALUE"""),"Сергей Смолев")</f>
        <v>Сергей Смолев</v>
      </c>
      <c r="F31" s="8" t="str">
        <f>IFERROR(__xludf.DUMMYFUNCTION("""COMPUTED_VALUE"""),"Светлана Кузнецова")</f>
        <v>Светлана Кузнецова</v>
      </c>
      <c r="G31" s="8"/>
      <c r="H31" s="8"/>
    </row>
    <row r="32">
      <c r="A32" s="7">
        <f>IFERROR(__xludf.DUMMYFUNCTION("""COMPUTED_VALUE"""),33.0)</f>
        <v>33</v>
      </c>
      <c r="B32" s="8"/>
      <c r="C32" s="8">
        <f>IFERROR(__xludf.DUMMYFUNCTION("""COMPUTED_VALUE"""),100.0)</f>
        <v>100</v>
      </c>
      <c r="D32" s="8" t="str">
        <f>IFERROR(__xludf.DUMMYFUNCTION("""COMPUTED_VALUE"""),"Дневной")</f>
        <v>Дневной</v>
      </c>
      <c r="E32" s="8" t="str">
        <f>IFERROR(__xludf.DUMMYFUNCTION("""COMPUTED_VALUE"""),"Артур Пирожков")</f>
        <v>Артур Пирожков</v>
      </c>
      <c r="F32" s="8"/>
      <c r="G32" s="8"/>
      <c r="H32" s="8">
        <f>IFERROR(__xludf.DUMMYFUNCTION("""COMPUTED_VALUE"""),1.0)</f>
        <v>1</v>
      </c>
    </row>
    <row r="33">
      <c r="A33" s="7">
        <f>IFERROR(__xludf.DUMMYFUNCTION("""COMPUTED_VALUE"""),34.0)</f>
        <v>34</v>
      </c>
      <c r="B33" s="8" t="str">
        <f>IFERROR(__xludf.DUMMYFUNCTION("""COMPUTED_VALUE""")," ")</f>
        <v> </v>
      </c>
      <c r="C33" s="8">
        <f>IFERROR(__xludf.DUMMYFUNCTION("""COMPUTED_VALUE"""),60.0)</f>
        <v>60</v>
      </c>
      <c r="D33" s="8" t="str">
        <f>IFERROR(__xludf.DUMMYFUNCTION("""COMPUTED_VALUE"""),"Ночной, старт в пятницу")</f>
        <v>Ночной, старт в пятницу</v>
      </c>
      <c r="E33" s="8" t="str">
        <f>IFERROR(__xludf.DUMMYFUNCTION("""COMPUTED_VALUE"""),"Гольцов Алексей")</f>
        <v>Гольцов Алексей</v>
      </c>
      <c r="F33" s="8"/>
      <c r="G33" s="8"/>
      <c r="H33" s="8"/>
    </row>
    <row r="34">
      <c r="A34" s="7">
        <f>IFERROR(__xludf.DUMMYFUNCTION("""COMPUTED_VALUE"""),35.0)</f>
        <v>35</v>
      </c>
      <c r="B34" s="8"/>
      <c r="C34" s="8">
        <f>IFERROR(__xludf.DUMMYFUNCTION("""COMPUTED_VALUE"""),40.0)</f>
        <v>40</v>
      </c>
      <c r="D34" s="8" t="str">
        <f>IFERROR(__xludf.DUMMYFUNCTION("""COMPUTED_VALUE"""),"Дневной")</f>
        <v>Дневной</v>
      </c>
      <c r="E34" s="8" t="str">
        <f>IFERROR(__xludf.DUMMYFUNCTION("""COMPUTED_VALUE"""),"Некрасова Екатерина")</f>
        <v>Некрасова Екатерина</v>
      </c>
      <c r="F34" s="8"/>
      <c r="G34" s="8"/>
      <c r="H34" s="8"/>
    </row>
    <row r="35">
      <c r="A35" s="7">
        <f>IFERROR(__xludf.DUMMYFUNCTION("""COMPUTED_VALUE"""),36.0)</f>
        <v>36</v>
      </c>
      <c r="B35" s="8"/>
      <c r="C35" s="8">
        <f>IFERROR(__xludf.DUMMYFUNCTION("""COMPUTED_VALUE"""),100.0)</f>
        <v>100</v>
      </c>
      <c r="D35" s="8" t="str">
        <f>IFERROR(__xludf.DUMMYFUNCTION("""COMPUTED_VALUE"""),"Дневной")</f>
        <v>Дневной</v>
      </c>
      <c r="E35" s="8" t="str">
        <f>IFERROR(__xludf.DUMMYFUNCTION("""COMPUTED_VALUE"""),"Журбина Ирина")</f>
        <v>Журбина Ирина</v>
      </c>
      <c r="F35" s="8"/>
      <c r="G35" s="8"/>
      <c r="H35" s="8">
        <f>IFERROR(__xludf.DUMMYFUNCTION("""COMPUTED_VALUE"""),1.0)</f>
        <v>1</v>
      </c>
    </row>
    <row r="36">
      <c r="A36" s="7">
        <f>IFERROR(__xludf.DUMMYFUNCTION("""COMPUTED_VALUE"""),37.0)</f>
        <v>37</v>
      </c>
      <c r="B36" s="8"/>
      <c r="C36" s="8">
        <f>IFERROR(__xludf.DUMMYFUNCTION("""COMPUTED_VALUE"""),60.0)</f>
        <v>60</v>
      </c>
      <c r="D36" s="8" t="str">
        <f>IFERROR(__xludf.DUMMYFUNCTION("""COMPUTED_VALUE"""),"Дневной")</f>
        <v>Дневной</v>
      </c>
      <c r="E36" s="8" t="str">
        <f>IFERROR(__xludf.DUMMYFUNCTION("""COMPUTED_VALUE"""),"Мошняга Надежда ")</f>
        <v>Мошняга Надежда </v>
      </c>
      <c r="F36" s="8" t="str">
        <f>IFERROR(__xludf.DUMMYFUNCTION("""COMPUTED_VALUE"""),"Савоева Елена ")</f>
        <v>Савоева Елена </v>
      </c>
      <c r="G36" s="8"/>
      <c r="H36" s="8"/>
    </row>
    <row r="37">
      <c r="A37" s="7">
        <f>IFERROR(__xludf.DUMMYFUNCTION("""COMPUTED_VALUE"""),38.0)</f>
        <v>38</v>
      </c>
      <c r="B37" s="8" t="str">
        <f>IFERROR(__xludf.DUMMYFUNCTION("""COMPUTED_VALUE"""),"Белое облачко")</f>
        <v>Белое облачко</v>
      </c>
      <c r="C37" s="8">
        <f>IFERROR(__xludf.DUMMYFUNCTION("""COMPUTED_VALUE"""),30.0)</f>
        <v>30</v>
      </c>
      <c r="D37" s="8" t="str">
        <f>IFERROR(__xludf.DUMMYFUNCTION("""COMPUTED_VALUE"""),"Дневной")</f>
        <v>Дневной</v>
      </c>
      <c r="E37" s="8" t="str">
        <f>IFERROR(__xludf.DUMMYFUNCTION("""COMPUTED_VALUE"""),"Денис")</f>
        <v>Денис</v>
      </c>
      <c r="F37" s="8" t="str">
        <f>IFERROR(__xludf.DUMMYFUNCTION("""COMPUTED_VALUE"""),"Тома")</f>
        <v>Тома</v>
      </c>
      <c r="G37" s="8"/>
      <c r="H37" s="8">
        <f>IFERROR(__xludf.DUMMYFUNCTION("""COMPUTED_VALUE"""),2.0)</f>
        <v>2</v>
      </c>
    </row>
    <row r="38">
      <c r="A38" s="7">
        <f>IFERROR(__xludf.DUMMYFUNCTION("""COMPUTED_VALUE"""),39.0)</f>
        <v>39</v>
      </c>
      <c r="B38" s="8" t="str">
        <f>IFERROR(__xludf.DUMMYFUNCTION("""COMPUTED_VALUE"""),"Zlohobbit")</f>
        <v>Zlohobbit</v>
      </c>
      <c r="C38" s="8">
        <f>IFERROR(__xludf.DUMMYFUNCTION("""COMPUTED_VALUE"""),30.0)</f>
        <v>30</v>
      </c>
      <c r="D38" s="8" t="str">
        <f>IFERROR(__xludf.DUMMYFUNCTION("""COMPUTED_VALUE"""),"Дневной")</f>
        <v>Дневной</v>
      </c>
      <c r="E38" s="8" t="str">
        <f>IFERROR(__xludf.DUMMYFUNCTION("""COMPUTED_VALUE"""),"Игорь Левин")</f>
        <v>Игорь Левин</v>
      </c>
      <c r="F38" s="8" t="str">
        <f>IFERROR(__xludf.DUMMYFUNCTION("""COMPUTED_VALUE"""),"Левин Глеб 16")</f>
        <v>Левин Глеб 16</v>
      </c>
      <c r="G38" s="8" t="str">
        <f>IFERROR(__xludf.DUMMYFUNCTION("""COMPUTED_VALUE"""),"Алексей Волгин")</f>
        <v>Алексей Волгин</v>
      </c>
      <c r="H38" s="8">
        <f>IFERROR(__xludf.DUMMYFUNCTION("""COMPUTED_VALUE"""),1.0)</f>
        <v>1</v>
      </c>
    </row>
    <row r="39">
      <c r="A39" s="7">
        <f>IFERROR(__xludf.DUMMYFUNCTION("""COMPUTED_VALUE"""),40.0)</f>
        <v>40</v>
      </c>
      <c r="B39" s="8"/>
      <c r="C39" s="8">
        <f>IFERROR(__xludf.DUMMYFUNCTION("""COMPUTED_VALUE"""),60.0)</f>
        <v>60</v>
      </c>
      <c r="D39" s="8" t="str">
        <f>IFERROR(__xludf.DUMMYFUNCTION("""COMPUTED_VALUE"""),"Дневной")</f>
        <v>Дневной</v>
      </c>
      <c r="E39" s="8" t="str">
        <f>IFERROR(__xludf.DUMMYFUNCTION("""COMPUTED_VALUE"""),"Истягин Дмитрий")</f>
        <v>Истягин Дмитрий</v>
      </c>
      <c r="F39" s="8"/>
      <c r="G39" s="8"/>
      <c r="H39" s="8"/>
    </row>
    <row r="40">
      <c r="A40" s="7">
        <f>IFERROR(__xludf.DUMMYFUNCTION("""COMPUTED_VALUE"""),41.0)</f>
        <v>41</v>
      </c>
      <c r="B40" s="8" t="str">
        <f>IFERROR(__xludf.DUMMYFUNCTION("""COMPUTED_VALUE"""),"sheich")</f>
        <v>sheich</v>
      </c>
      <c r="C40" s="8">
        <f>IFERROR(__xludf.DUMMYFUNCTION("""COMPUTED_VALUE"""),40.0)</f>
        <v>40</v>
      </c>
      <c r="D40" s="8" t="str">
        <f>IFERROR(__xludf.DUMMYFUNCTION("""COMPUTED_VALUE"""),"Дневной")</f>
        <v>Дневной</v>
      </c>
      <c r="E40" s="8" t="str">
        <f>IFERROR(__xludf.DUMMYFUNCTION("""COMPUTED_VALUE"""),"sheich")</f>
        <v>sheich</v>
      </c>
      <c r="F40" s="8"/>
      <c r="G40" s="8"/>
      <c r="H40" s="8">
        <f>IFERROR(__xludf.DUMMYFUNCTION("""COMPUTED_VALUE"""),1.0)</f>
        <v>1</v>
      </c>
    </row>
    <row r="41">
      <c r="A41" s="7">
        <f>IFERROR(__xludf.DUMMYFUNCTION("""COMPUTED_VALUE"""),42.0)</f>
        <v>42</v>
      </c>
      <c r="B41" s="8" t="str">
        <f>IFERROR(__xludf.DUMMYFUNCTION("""COMPUTED_VALUE"""),"""О"" ")</f>
        <v>"О" </v>
      </c>
      <c r="C41" s="8">
        <f>IFERROR(__xludf.DUMMYFUNCTION("""COMPUTED_VALUE"""),40.0)</f>
        <v>40</v>
      </c>
      <c r="D41" s="8" t="str">
        <f>IFERROR(__xludf.DUMMYFUNCTION("""COMPUTED_VALUE"""),"Дневной")</f>
        <v>Дневной</v>
      </c>
      <c r="E41" s="8" t="str">
        <f>IFERROR(__xludf.DUMMYFUNCTION("""COMPUTED_VALUE"""),"Жученко Дмитрий ")</f>
        <v>Жученко Дмитрий </v>
      </c>
      <c r="F41" s="8" t="str">
        <f>IFERROR(__xludf.DUMMYFUNCTION("""COMPUTED_VALUE"""),"Трифонов Илья")</f>
        <v>Трифонов Илья</v>
      </c>
      <c r="G41" s="8"/>
      <c r="H41" s="8"/>
    </row>
    <row r="42">
      <c r="A42" s="7">
        <f>IFERROR(__xludf.DUMMYFUNCTION("""COMPUTED_VALUE"""),43.0)</f>
        <v>43</v>
      </c>
      <c r="B42" s="8" t="str">
        <f>IFERROR(__xludf.DUMMYFUNCTION("""COMPUTED_VALUE"""),"Polkeda")</f>
        <v>Polkeda</v>
      </c>
      <c r="C42" s="8">
        <f>IFERROR(__xludf.DUMMYFUNCTION("""COMPUTED_VALUE"""),60.0)</f>
        <v>60</v>
      </c>
      <c r="D42" s="8" t="str">
        <f>IFERROR(__xludf.DUMMYFUNCTION("""COMPUTED_VALUE"""),"Дневной")</f>
        <v>Дневной</v>
      </c>
      <c r="E42" s="8" t="str">
        <f>IFERROR(__xludf.DUMMYFUNCTION("""COMPUTED_VALUE"""),"Строганов Александр")</f>
        <v>Строганов Александр</v>
      </c>
      <c r="F42" s="8"/>
      <c r="G42" s="8"/>
      <c r="H42" s="8"/>
    </row>
    <row r="43">
      <c r="A43" s="7">
        <f>IFERROR(__xludf.DUMMYFUNCTION("""COMPUTED_VALUE"""),44.0)</f>
        <v>44</v>
      </c>
      <c r="B43" s="8" t="str">
        <f>IFERROR(__xludf.DUMMYFUNCTION("""COMPUTED_VALUE"""),"Offroaders")</f>
        <v>Offroaders</v>
      </c>
      <c r="C43" s="8">
        <f>IFERROR(__xludf.DUMMYFUNCTION("""COMPUTED_VALUE"""),30.0)</f>
        <v>30</v>
      </c>
      <c r="D43" s="8" t="str">
        <f>IFERROR(__xludf.DUMMYFUNCTION("""COMPUTED_VALUE"""),"Дневной")</f>
        <v>Дневной</v>
      </c>
      <c r="E43" s="8" t="str">
        <f>IFERROR(__xludf.DUMMYFUNCTION("""COMPUTED_VALUE"""),"Задорожная Марина Александровна")</f>
        <v>Задорожная Марина Александровна</v>
      </c>
      <c r="F43" s="8"/>
      <c r="G43" s="8"/>
      <c r="H43" s="8"/>
    </row>
    <row r="44">
      <c r="A44" s="7">
        <f>IFERROR(__xludf.DUMMYFUNCTION("""COMPUTED_VALUE"""),45.0)</f>
        <v>45</v>
      </c>
      <c r="B44" s="8" t="str">
        <f>IFERROR(__xludf.DUMMYFUNCTION("""COMPUTED_VALUE"""),"Гаечка")</f>
        <v>Гаечка</v>
      </c>
      <c r="C44" s="8">
        <f>IFERROR(__xludf.DUMMYFUNCTION("""COMPUTED_VALUE"""),60.0)</f>
        <v>60</v>
      </c>
      <c r="D44" s="8" t="str">
        <f>IFERROR(__xludf.DUMMYFUNCTION("""COMPUTED_VALUE"""),"Дневной")</f>
        <v>Дневной</v>
      </c>
      <c r="E44" s="8" t="str">
        <f>IFERROR(__xludf.DUMMYFUNCTION("""COMPUTED_VALUE"""),"Хачатрян Карина")</f>
        <v>Хачатрян Карина</v>
      </c>
      <c r="F44" s="8"/>
      <c r="G44" s="8"/>
      <c r="H44" s="8"/>
    </row>
    <row r="45">
      <c r="A45" s="7">
        <f>IFERROR(__xludf.DUMMYFUNCTION("""COMPUTED_VALUE"""),46.0)</f>
        <v>46</v>
      </c>
      <c r="B45" s="8"/>
      <c r="C45" s="8">
        <f>IFERROR(__xludf.DUMMYFUNCTION("""COMPUTED_VALUE"""),60.0)</f>
        <v>60</v>
      </c>
      <c r="D45" s="8" t="str">
        <f>IFERROR(__xludf.DUMMYFUNCTION("""COMPUTED_VALUE"""),"Ночной, старт в пятницу")</f>
        <v>Ночной, старт в пятницу</v>
      </c>
      <c r="E45" s="8" t="str">
        <f>IFERROR(__xludf.DUMMYFUNCTION("""COMPUTED_VALUE"""),"Молявко Евгений ")</f>
        <v>Молявко Евгений </v>
      </c>
      <c r="F45" s="8"/>
      <c r="G45" s="8"/>
      <c r="H45" s="8">
        <f>IFERROR(__xludf.DUMMYFUNCTION("""COMPUTED_VALUE"""),1.0)</f>
        <v>1</v>
      </c>
    </row>
    <row r="46">
      <c r="A46" s="7">
        <f>IFERROR(__xludf.DUMMYFUNCTION("""COMPUTED_VALUE"""),47.0)</f>
        <v>47</v>
      </c>
      <c r="B46" s="8"/>
      <c r="C46" s="8">
        <f>IFERROR(__xludf.DUMMYFUNCTION("""COMPUTED_VALUE"""),30.0)</f>
        <v>30</v>
      </c>
      <c r="D46" s="8" t="str">
        <f>IFERROR(__xludf.DUMMYFUNCTION("""COMPUTED_VALUE"""),"Дневной")</f>
        <v>Дневной</v>
      </c>
      <c r="E46" s="8" t="str">
        <f>IFERROR(__xludf.DUMMYFUNCTION("""COMPUTED_VALUE"""),"Антипова Анна Игоревна")</f>
        <v>Антипова Анна Игоревна</v>
      </c>
      <c r="F46" s="8"/>
      <c r="G46" s="8"/>
      <c r="H46" s="8"/>
    </row>
    <row r="47">
      <c r="A47" s="7">
        <f>IFERROR(__xludf.DUMMYFUNCTION("""COMPUTED_VALUE"""),48.0)</f>
        <v>48</v>
      </c>
      <c r="B47" s="8" t="str">
        <f>IFERROR(__xludf.DUMMYFUNCTION("""COMPUTED_VALUE"""),"Lost")</f>
        <v>Lost</v>
      </c>
      <c r="C47" s="8">
        <f>IFERROR(__xludf.DUMMYFUNCTION("""COMPUTED_VALUE"""),40.0)</f>
        <v>40</v>
      </c>
      <c r="D47" s="8" t="str">
        <f>IFERROR(__xludf.DUMMYFUNCTION("""COMPUTED_VALUE"""),"Дневной")</f>
        <v>Дневной</v>
      </c>
      <c r="E47" s="8" t="str">
        <f>IFERROR(__xludf.DUMMYFUNCTION("""COMPUTED_VALUE"""),"Юрий Бобров")</f>
        <v>Юрий Бобров</v>
      </c>
      <c r="F47" s="8"/>
      <c r="G47" s="8"/>
      <c r="H47" s="8">
        <f>IFERROR(__xludf.DUMMYFUNCTION("""COMPUTED_VALUE"""),1.0)</f>
        <v>1</v>
      </c>
    </row>
    <row r="48">
      <c r="A48" s="7">
        <f>IFERROR(__xludf.DUMMYFUNCTION("""COMPUTED_VALUE"""),49.0)</f>
        <v>49</v>
      </c>
      <c r="B48" s="8" t="str">
        <f>IFERROR(__xludf.DUMMYFUNCTION("""COMPUTED_VALUE"""),"Могучий муравей")</f>
        <v>Могучий муравей</v>
      </c>
      <c r="C48" s="8">
        <f>IFERROR(__xludf.DUMMYFUNCTION("""COMPUTED_VALUE"""),30.0)</f>
        <v>30</v>
      </c>
      <c r="D48" s="8" t="str">
        <f>IFERROR(__xludf.DUMMYFUNCTION("""COMPUTED_VALUE"""),"Дневной")</f>
        <v>Дневной</v>
      </c>
      <c r="E48" s="8" t="str">
        <f>IFERROR(__xludf.DUMMYFUNCTION("""COMPUTED_VALUE"""),"Муравенков Денис")</f>
        <v>Муравенков Денис</v>
      </c>
      <c r="F48" s="8" t="str">
        <f>IFERROR(__xludf.DUMMYFUNCTION("""COMPUTED_VALUE"""),"Муравенков Олег")</f>
        <v>Муравенков Олег</v>
      </c>
      <c r="G48" s="8"/>
      <c r="H48" s="8">
        <f>IFERROR(__xludf.DUMMYFUNCTION("""COMPUTED_VALUE"""),1.0)</f>
        <v>1</v>
      </c>
    </row>
    <row r="49">
      <c r="A49" s="7">
        <f>IFERROR(__xludf.DUMMYFUNCTION("""COMPUTED_VALUE"""),50.0)</f>
        <v>50</v>
      </c>
      <c r="B49" s="8" t="str">
        <f>IFERROR(__xludf.DUMMYFUNCTION("""COMPUTED_VALUE"""),"Свин-турист")</f>
        <v>Свин-турист</v>
      </c>
      <c r="C49" s="8">
        <f>IFERROR(__xludf.DUMMYFUNCTION("""COMPUTED_VALUE"""),30.0)</f>
        <v>30</v>
      </c>
      <c r="D49" s="8" t="str">
        <f>IFERROR(__xludf.DUMMYFUNCTION("""COMPUTED_VALUE"""),"Дневной")</f>
        <v>Дневной</v>
      </c>
      <c r="E49" s="8" t="str">
        <f>IFERROR(__xludf.DUMMYFUNCTION("""COMPUTED_VALUE"""),"Гарасюта Владислав")</f>
        <v>Гарасюта Владислав</v>
      </c>
      <c r="F49" s="8"/>
      <c r="G49" s="8"/>
      <c r="H49" s="8">
        <f>IFERROR(__xludf.DUMMYFUNCTION("""COMPUTED_VALUE"""),1.0)</f>
        <v>1</v>
      </c>
    </row>
    <row r="50">
      <c r="A50" s="7">
        <f>IFERROR(__xludf.DUMMYFUNCTION("""COMPUTED_VALUE"""),51.0)</f>
        <v>51</v>
      </c>
      <c r="B50" s="8" t="str">
        <f>IFERROR(__xludf.DUMMYFUNCTION("""COMPUTED_VALUE"""),"Свирепые лосята")</f>
        <v>Свирепые лосята</v>
      </c>
      <c r="C50" s="8">
        <f>IFERROR(__xludf.DUMMYFUNCTION("""COMPUTED_VALUE"""),100.0)</f>
        <v>100</v>
      </c>
      <c r="D50" s="8" t="str">
        <f>IFERROR(__xludf.DUMMYFUNCTION("""COMPUTED_VALUE"""),"Дневной")</f>
        <v>Дневной</v>
      </c>
      <c r="E50" s="8" t="str">
        <f>IFERROR(__xludf.DUMMYFUNCTION("""COMPUTED_VALUE"""),"Тетерин Ярослав")</f>
        <v>Тетерин Ярослав</v>
      </c>
      <c r="F50" s="8" t="str">
        <f>IFERROR(__xludf.DUMMYFUNCTION("""COMPUTED_VALUE"""),"Мамаев Андрей")</f>
        <v>Мамаев Андрей</v>
      </c>
      <c r="G50" s="8"/>
      <c r="H50" s="8">
        <f>IFERROR(__xludf.DUMMYFUNCTION("""COMPUTED_VALUE"""),1.0)</f>
        <v>1</v>
      </c>
    </row>
    <row r="51">
      <c r="A51" s="7">
        <f>IFERROR(__xludf.DUMMYFUNCTION("""COMPUTED_VALUE"""),52.0)</f>
        <v>52</v>
      </c>
      <c r="B51" s="8" t="str">
        <f>IFERROR(__xludf.DUMMYFUNCTION("""COMPUTED_VALUE"""),"Ольга Симакина ")</f>
        <v>Ольга Симакина </v>
      </c>
      <c r="C51" s="8">
        <f>IFERROR(__xludf.DUMMYFUNCTION("""COMPUTED_VALUE"""),40.0)</f>
        <v>40</v>
      </c>
      <c r="D51" s="8" t="str">
        <f>IFERROR(__xludf.DUMMYFUNCTION("""COMPUTED_VALUE"""),"Дневной")</f>
        <v>Дневной</v>
      </c>
      <c r="E51" s="8" t="str">
        <f>IFERROR(__xludf.DUMMYFUNCTION("""COMPUTED_VALUE"""),"Ольга Симакина ")</f>
        <v>Ольга Симакина </v>
      </c>
      <c r="F51" s="8"/>
      <c r="G51" s="8"/>
      <c r="H51" s="8"/>
    </row>
    <row r="52">
      <c r="A52" s="7">
        <f>IFERROR(__xludf.DUMMYFUNCTION("""COMPUTED_VALUE"""),53.0)</f>
        <v>53</v>
      </c>
      <c r="B52" s="8" t="str">
        <f>IFERROR(__xludf.DUMMYFUNCTION("""COMPUTED_VALUE"""),"Beavers")</f>
        <v>Beavers</v>
      </c>
      <c r="C52" s="8">
        <f>IFERROR(__xludf.DUMMYFUNCTION("""COMPUTED_VALUE"""),30.0)</f>
        <v>30</v>
      </c>
      <c r="D52" s="8" t="str">
        <f>IFERROR(__xludf.DUMMYFUNCTION("""COMPUTED_VALUE"""),"Дневной")</f>
        <v>Дневной</v>
      </c>
      <c r="E52" s="8" t="str">
        <f>IFERROR(__xludf.DUMMYFUNCTION("""COMPUTED_VALUE"""),"Ян Ситников")</f>
        <v>Ян Ситников</v>
      </c>
      <c r="F52" s="8" t="str">
        <f>IFERROR(__xludf.DUMMYFUNCTION("""COMPUTED_VALUE"""),"Георгий Рюриков")</f>
        <v>Георгий Рюриков</v>
      </c>
      <c r="G52" s="8"/>
      <c r="H52" s="8">
        <f>IFERROR(__xludf.DUMMYFUNCTION("""COMPUTED_VALUE"""),2.0)</f>
        <v>2</v>
      </c>
    </row>
    <row r="53">
      <c r="A53" s="7">
        <f>IFERROR(__xludf.DUMMYFUNCTION("""COMPUTED_VALUE"""),54.0)</f>
        <v>54</v>
      </c>
      <c r="B53" s="8" t="str">
        <f>IFERROR(__xludf.DUMMYFUNCTION("""COMPUTED_VALUE"""),"Ёжик в берлоге")</f>
        <v>Ёжик в берлоге</v>
      </c>
      <c r="C53" s="8">
        <f>IFERROR(__xludf.DUMMYFUNCTION("""COMPUTED_VALUE"""),40.0)</f>
        <v>40</v>
      </c>
      <c r="D53" s="8" t="str">
        <f>IFERROR(__xludf.DUMMYFUNCTION("""COMPUTED_VALUE"""),"Дневной")</f>
        <v>Дневной</v>
      </c>
      <c r="E53" s="8" t="str">
        <f>IFERROR(__xludf.DUMMYFUNCTION("""COMPUTED_VALUE"""),"Ярослав Веселов")</f>
        <v>Ярослав Веселов</v>
      </c>
      <c r="F53" s="8"/>
      <c r="G53" s="8"/>
      <c r="H53" s="8">
        <f>IFERROR(__xludf.DUMMYFUNCTION("""COMPUTED_VALUE"""),2.0)</f>
        <v>2</v>
      </c>
    </row>
    <row r="54">
      <c r="A54" s="7">
        <f>IFERROR(__xludf.DUMMYFUNCTION("""COMPUTED_VALUE"""),55.0)</f>
        <v>55</v>
      </c>
      <c r="B54" s="8"/>
      <c r="C54" s="8">
        <f>IFERROR(__xludf.DUMMYFUNCTION("""COMPUTED_VALUE"""),30.0)</f>
        <v>30</v>
      </c>
      <c r="D54" s="8" t="str">
        <f>IFERROR(__xludf.DUMMYFUNCTION("""COMPUTED_VALUE"""),"Дневной")</f>
        <v>Дневной</v>
      </c>
      <c r="E54" s="8" t="str">
        <f>IFERROR(__xludf.DUMMYFUNCTION("""COMPUTED_VALUE"""),"Сударев Михаил")</f>
        <v>Сударев Михаил</v>
      </c>
      <c r="F54" s="8"/>
      <c r="G54" s="8"/>
      <c r="H54" s="8"/>
    </row>
    <row r="55">
      <c r="A55" s="7">
        <f>IFERROR(__xludf.DUMMYFUNCTION("""COMPUTED_VALUE"""),56.0)</f>
        <v>56</v>
      </c>
      <c r="B55" s="8"/>
      <c r="C55" s="8">
        <f>IFERROR(__xludf.DUMMYFUNCTION("""COMPUTED_VALUE"""),60.0)</f>
        <v>60</v>
      </c>
      <c r="D55" s="8" t="str">
        <f>IFERROR(__xludf.DUMMYFUNCTION("""COMPUTED_VALUE"""),"Дневной")</f>
        <v>Дневной</v>
      </c>
      <c r="E55" s="8" t="str">
        <f>IFERROR(__xludf.DUMMYFUNCTION("""COMPUTED_VALUE"""),"Челмодеев Александр")</f>
        <v>Челмодеев Александр</v>
      </c>
      <c r="F55" s="8"/>
      <c r="G55" s="8"/>
      <c r="H55" s="8"/>
    </row>
    <row r="56">
      <c r="A56" s="7">
        <f>IFERROR(__xludf.DUMMYFUNCTION("""COMPUTED_VALUE"""),57.0)</f>
        <v>57</v>
      </c>
      <c r="B56" s="8" t="str">
        <f>IFERROR(__xludf.DUMMYFUNCTION("""COMPUTED_VALUE"""),"Еноты")</f>
        <v>Еноты</v>
      </c>
      <c r="C56" s="8">
        <f>IFERROR(__xludf.DUMMYFUNCTION("""COMPUTED_VALUE"""),60.0)</f>
        <v>60</v>
      </c>
      <c r="D56" s="8" t="str">
        <f>IFERROR(__xludf.DUMMYFUNCTION("""COMPUTED_VALUE"""),"Дневной")</f>
        <v>Дневной</v>
      </c>
      <c r="E56" s="8" t="str">
        <f>IFERROR(__xludf.DUMMYFUNCTION("""COMPUTED_VALUE"""),"Александр")</f>
        <v>Александр</v>
      </c>
      <c r="F56" s="8"/>
      <c r="G56" s="8"/>
      <c r="H56" s="8"/>
    </row>
    <row r="57">
      <c r="A57" s="7">
        <f>IFERROR(__xludf.DUMMYFUNCTION("""COMPUTED_VALUE"""),58.0)</f>
        <v>58</v>
      </c>
      <c r="B57" s="8" t="str">
        <f>IFERROR(__xludf.DUMMYFUNCTION("""COMPUTED_VALUE"""),"Бублички-бараночки")</f>
        <v>Бублички-бараночки</v>
      </c>
      <c r="C57" s="8">
        <f>IFERROR(__xludf.DUMMYFUNCTION("""COMPUTED_VALUE"""),30.0)</f>
        <v>30</v>
      </c>
      <c r="D57" s="8" t="str">
        <f>IFERROR(__xludf.DUMMYFUNCTION("""COMPUTED_VALUE"""),"Дневной")</f>
        <v>Дневной</v>
      </c>
      <c r="E57" s="8" t="str">
        <f>IFERROR(__xludf.DUMMYFUNCTION("""COMPUTED_VALUE"""),"Соломеин Евгений")</f>
        <v>Соломеин Евгений</v>
      </c>
      <c r="F57" s="8"/>
      <c r="G57" s="8"/>
      <c r="H57" s="8"/>
    </row>
    <row r="58">
      <c r="A58" s="7">
        <f>IFERROR(__xludf.DUMMYFUNCTION("""COMPUTED_VALUE"""),59.0)</f>
        <v>59</v>
      </c>
      <c r="B58" s="8" t="str">
        <f>IFERROR(__xludf.DUMMYFUNCTION("""COMPUTED_VALUE"""),"Еноты")</f>
        <v>Еноты</v>
      </c>
      <c r="C58" s="8">
        <f>IFERROR(__xludf.DUMMYFUNCTION("""COMPUTED_VALUE"""),60.0)</f>
        <v>60</v>
      </c>
      <c r="D58" s="8" t="str">
        <f>IFERROR(__xludf.DUMMYFUNCTION("""COMPUTED_VALUE"""),"Дневной")</f>
        <v>Дневной</v>
      </c>
      <c r="E58" s="8" t="str">
        <f>IFERROR(__xludf.DUMMYFUNCTION("""COMPUTED_VALUE"""),"Александр")</f>
        <v>Александр</v>
      </c>
      <c r="F58" s="8" t="str">
        <f>IFERROR(__xludf.DUMMYFUNCTION("""COMPUTED_VALUE"""),"Антон")</f>
        <v>Антон</v>
      </c>
      <c r="G58" s="8"/>
      <c r="H58" s="8"/>
    </row>
    <row r="59">
      <c r="A59" s="7">
        <f>IFERROR(__xludf.DUMMYFUNCTION("""COMPUTED_VALUE"""),60.0)</f>
        <v>60</v>
      </c>
      <c r="B59" s="8" t="str">
        <f>IFERROR(__xludf.DUMMYFUNCTION("""COMPUTED_VALUE"""),"Турбо-заяц ")</f>
        <v>Турбо-заяц </v>
      </c>
      <c r="C59" s="8">
        <f>IFERROR(__xludf.DUMMYFUNCTION("""COMPUTED_VALUE"""),30.0)</f>
        <v>30</v>
      </c>
      <c r="D59" s="8" t="str">
        <f>IFERROR(__xludf.DUMMYFUNCTION("""COMPUTED_VALUE"""),"Дневной")</f>
        <v>Дневной</v>
      </c>
      <c r="E59" s="8" t="str">
        <f>IFERROR(__xludf.DUMMYFUNCTION("""COMPUTED_VALUE"""),"Кочакова Екатерина ")</f>
        <v>Кочакова Екатерина </v>
      </c>
      <c r="F59" s="8"/>
      <c r="G59" s="8"/>
      <c r="H59" s="8">
        <f>IFERROR(__xludf.DUMMYFUNCTION("""COMPUTED_VALUE"""),1.0)</f>
        <v>1</v>
      </c>
    </row>
    <row r="60">
      <c r="A60" s="7">
        <f>IFERROR(__xludf.DUMMYFUNCTION("""COMPUTED_VALUE"""),61.0)</f>
        <v>61</v>
      </c>
      <c r="B60" s="8" t="str">
        <f>IFERROR(__xludf.DUMMYFUNCTION("""COMPUTED_VALUE"""),"Идущие за горизонт")</f>
        <v>Идущие за горизонт</v>
      </c>
      <c r="C60" s="8">
        <f>IFERROR(__xludf.DUMMYFUNCTION("""COMPUTED_VALUE"""),30.0)</f>
        <v>30</v>
      </c>
      <c r="D60" s="8" t="str">
        <f>IFERROR(__xludf.DUMMYFUNCTION("""COMPUTED_VALUE"""),"Дневной")</f>
        <v>Дневной</v>
      </c>
      <c r="E60" s="8" t="str">
        <f>IFERROR(__xludf.DUMMYFUNCTION("""COMPUTED_VALUE"""),"Алексей Зотов")</f>
        <v>Алексей Зотов</v>
      </c>
      <c r="F60" s="8" t="str">
        <f>IFERROR(__xludf.DUMMYFUNCTION("""COMPUTED_VALUE"""),"Кирилл Калашников")</f>
        <v>Кирилл Калашников</v>
      </c>
      <c r="G60" s="8"/>
      <c r="H60" s="8"/>
    </row>
    <row r="61">
      <c r="A61" s="7">
        <f>IFERROR(__xludf.DUMMYFUNCTION("""COMPUTED_VALUE"""),62.0)</f>
        <v>62</v>
      </c>
      <c r="B61" s="8" t="str">
        <f>IFERROR(__xludf.DUMMYFUNCTION("""COMPUTED_VALUE"""),"WHITE")</f>
        <v>WHITE</v>
      </c>
      <c r="C61" s="8">
        <f>IFERROR(__xludf.DUMMYFUNCTION("""COMPUTED_VALUE"""),100.0)</f>
        <v>100</v>
      </c>
      <c r="D61" s="8" t="str">
        <f>IFERROR(__xludf.DUMMYFUNCTION("""COMPUTED_VALUE"""),"Ночной, старт в пятницу")</f>
        <v>Ночной, старт в пятницу</v>
      </c>
      <c r="E61" s="8" t="str">
        <f>IFERROR(__xludf.DUMMYFUNCTION("""COMPUTED_VALUE"""),"Зимаков Андрей")</f>
        <v>Зимаков Андрей</v>
      </c>
      <c r="F61" s="8"/>
      <c r="G61" s="8"/>
      <c r="H61" s="8"/>
    </row>
    <row r="62">
      <c r="A62" s="7">
        <f>IFERROR(__xludf.DUMMYFUNCTION("""COMPUTED_VALUE"""),63.0)</f>
        <v>63</v>
      </c>
      <c r="B62" s="8"/>
      <c r="C62" s="8">
        <f>IFERROR(__xludf.DUMMYFUNCTION("""COMPUTED_VALUE"""),60.0)</f>
        <v>60</v>
      </c>
      <c r="D62" s="8" t="str">
        <f>IFERROR(__xludf.DUMMYFUNCTION("""COMPUTED_VALUE"""),"Дневной")</f>
        <v>Дневной</v>
      </c>
      <c r="E62" s="8" t="str">
        <f>IFERROR(__xludf.DUMMYFUNCTION("""COMPUTED_VALUE"""),"Дарья")</f>
        <v>Дарья</v>
      </c>
      <c r="F62" s="8"/>
      <c r="G62" s="8"/>
      <c r="H62" s="8"/>
    </row>
    <row r="63">
      <c r="A63" s="7">
        <f>IFERROR(__xludf.DUMMYFUNCTION("""COMPUTED_VALUE"""),64.0)</f>
        <v>64</v>
      </c>
      <c r="B63" s="8" t="str">
        <f>IFERROR(__xludf.DUMMYFUNCTION("""COMPUTED_VALUE"""),"Команда Полякова Михаила")</f>
        <v>Команда Полякова Михаила</v>
      </c>
      <c r="C63" s="8">
        <f>IFERROR(__xludf.DUMMYFUNCTION("""COMPUTED_VALUE"""),100.0)</f>
        <v>100</v>
      </c>
      <c r="D63" s="8" t="str">
        <f>IFERROR(__xludf.DUMMYFUNCTION("""COMPUTED_VALUE"""),"Ночной, старт в пятницу")</f>
        <v>Ночной, старт в пятницу</v>
      </c>
      <c r="E63" s="8" t="str">
        <f>IFERROR(__xludf.DUMMYFUNCTION("""COMPUTED_VALUE"""),"Поляков Михаил")</f>
        <v>Поляков Михаил</v>
      </c>
      <c r="F63" s="8"/>
      <c r="G63" s="8"/>
      <c r="H63" s="8">
        <f>IFERROR(__xludf.DUMMYFUNCTION("""COMPUTED_VALUE"""),1.0)</f>
        <v>1</v>
      </c>
    </row>
    <row r="64">
      <c r="A64" s="7">
        <f>IFERROR(__xludf.DUMMYFUNCTION("""COMPUTED_VALUE"""),65.0)</f>
        <v>65</v>
      </c>
      <c r="B64" s="8"/>
      <c r="C64" s="8">
        <f>IFERROR(__xludf.DUMMYFUNCTION("""COMPUTED_VALUE"""),100.0)</f>
        <v>100</v>
      </c>
      <c r="D64" s="8" t="str">
        <f>IFERROR(__xludf.DUMMYFUNCTION("""COMPUTED_VALUE"""),"Дневной")</f>
        <v>Дневной</v>
      </c>
      <c r="E64" s="8" t="str">
        <f>IFERROR(__xludf.DUMMYFUNCTION("""COMPUTED_VALUE"""),"Калинчиков Илья")</f>
        <v>Калинчиков Илья</v>
      </c>
      <c r="F64" s="8"/>
      <c r="G64" s="8"/>
      <c r="H64" s="8"/>
    </row>
    <row r="65">
      <c r="A65" s="7">
        <f>IFERROR(__xludf.DUMMYFUNCTION("""COMPUTED_VALUE"""),66.0)</f>
        <v>66</v>
      </c>
      <c r="B65" s="8"/>
      <c r="C65" s="8">
        <f>IFERROR(__xludf.DUMMYFUNCTION("""COMPUTED_VALUE"""),30.0)</f>
        <v>30</v>
      </c>
      <c r="D65" s="8" t="str">
        <f>IFERROR(__xludf.DUMMYFUNCTION("""COMPUTED_VALUE"""),"Дневной")</f>
        <v>Дневной</v>
      </c>
      <c r="E65" s="8" t="str">
        <f>IFERROR(__xludf.DUMMYFUNCTION("""COMPUTED_VALUE"""),"Миронович Дмитрий")</f>
        <v>Миронович Дмитрий</v>
      </c>
      <c r="F65" s="8"/>
      <c r="G65" s="8"/>
      <c r="H65" s="8"/>
    </row>
    <row r="66">
      <c r="A66" s="7">
        <f>IFERROR(__xludf.DUMMYFUNCTION("""COMPUTED_VALUE"""),67.0)</f>
        <v>67</v>
      </c>
      <c r="B66" s="8" t="str">
        <f>IFERROR(__xludf.DUMMYFUNCTION("""COMPUTED_VALUE"""),"Гражданская оборона")</f>
        <v>Гражданская оборона</v>
      </c>
      <c r="C66" s="8">
        <f>IFERROR(__xludf.DUMMYFUNCTION("""COMPUTED_VALUE"""),40.0)</f>
        <v>40</v>
      </c>
      <c r="D66" s="8" t="str">
        <f>IFERROR(__xludf.DUMMYFUNCTION("""COMPUTED_VALUE"""),"Дневной")</f>
        <v>Дневной</v>
      </c>
      <c r="E66" s="8" t="str">
        <f>IFERROR(__xludf.DUMMYFUNCTION("""COMPUTED_VALUE"""),"Корешков Александр")</f>
        <v>Корешков Александр</v>
      </c>
      <c r="F66" s="8" t="str">
        <f>IFERROR(__xludf.DUMMYFUNCTION("""COMPUTED_VALUE"""),"Афонченко Евгений")</f>
        <v>Афонченко Евгений</v>
      </c>
      <c r="G66" s="8" t="str">
        <f>IFERROR(__xludf.DUMMYFUNCTION("""COMPUTED_VALUE"""),"Сакулина Екатерина")</f>
        <v>Сакулина Екатерина</v>
      </c>
      <c r="H66" s="8"/>
    </row>
    <row r="67">
      <c r="A67" s="7">
        <f>IFERROR(__xludf.DUMMYFUNCTION("""COMPUTED_VALUE"""),68.0)</f>
        <v>68</v>
      </c>
      <c r="B67" s="8" t="str">
        <f>IFERROR(__xludf.DUMMYFUNCTION("""COMPUTED_VALUE"""),"пыщ-пыщ")</f>
        <v>пыщ-пыщ</v>
      </c>
      <c r="C67" s="8">
        <f>IFERROR(__xludf.DUMMYFUNCTION("""COMPUTED_VALUE"""),100.0)</f>
        <v>100</v>
      </c>
      <c r="D67" s="8" t="str">
        <f>IFERROR(__xludf.DUMMYFUNCTION("""COMPUTED_VALUE"""),"Дневной")</f>
        <v>Дневной</v>
      </c>
      <c r="E67" s="8" t="str">
        <f>IFERROR(__xludf.DUMMYFUNCTION("""COMPUTED_VALUE"""),"Поляков А.А.")</f>
        <v>Поляков А.А.</v>
      </c>
      <c r="F67" s="8"/>
      <c r="G67" s="8"/>
      <c r="H67" s="8">
        <f>IFERROR(__xludf.DUMMYFUNCTION("""COMPUTED_VALUE"""),1.0)</f>
        <v>1</v>
      </c>
    </row>
    <row r="68">
      <c r="A68" s="7">
        <f>IFERROR(__xludf.DUMMYFUNCTION("""COMPUTED_VALUE"""),69.0)</f>
        <v>69</v>
      </c>
      <c r="B68" s="8"/>
      <c r="C68" s="8">
        <f>IFERROR(__xludf.DUMMYFUNCTION("""COMPUTED_VALUE"""),60.0)</f>
        <v>60</v>
      </c>
      <c r="D68" s="8" t="str">
        <f>IFERROR(__xludf.DUMMYFUNCTION("""COMPUTED_VALUE"""),"Ночной,  старт в субботу")</f>
        <v>Ночной,  старт в субботу</v>
      </c>
      <c r="E68" s="8" t="str">
        <f>IFERROR(__xludf.DUMMYFUNCTION("""COMPUTED_VALUE"""),"Матвеев Игорь ")</f>
        <v>Матвеев Игорь </v>
      </c>
      <c r="F68" s="8"/>
      <c r="G68" s="8"/>
      <c r="H68" s="8"/>
    </row>
    <row r="69">
      <c r="A69" s="7">
        <f>IFERROR(__xludf.DUMMYFUNCTION("""COMPUTED_VALUE"""),70.0)</f>
        <v>70</v>
      </c>
      <c r="B69" s="8" t="str">
        <f>IFERROR(__xludf.DUMMYFUNCTION("""COMPUTED_VALUE"""),"Урюк")</f>
        <v>Урюк</v>
      </c>
      <c r="C69" s="8">
        <f>IFERROR(__xludf.DUMMYFUNCTION("""COMPUTED_VALUE"""),60.0)</f>
        <v>60</v>
      </c>
      <c r="D69" s="8" t="str">
        <f>IFERROR(__xludf.DUMMYFUNCTION("""COMPUTED_VALUE"""),"Дневной")</f>
        <v>Дневной</v>
      </c>
      <c r="E69" s="8" t="str">
        <f>IFERROR(__xludf.DUMMYFUNCTION("""COMPUTED_VALUE"""),"Фёдорова Алла ")</f>
        <v>Фёдорова Алла </v>
      </c>
      <c r="F69" s="8"/>
      <c r="G69" s="8"/>
      <c r="H69" s="8"/>
    </row>
    <row r="70">
      <c r="A70" s="7">
        <f>IFERROR(__xludf.DUMMYFUNCTION("""COMPUTED_VALUE"""),71.0)</f>
        <v>71</v>
      </c>
      <c r="B70" s="8"/>
      <c r="C70" s="8">
        <f>IFERROR(__xludf.DUMMYFUNCTION("""COMPUTED_VALUE"""),60.0)</f>
        <v>60</v>
      </c>
      <c r="D70" s="8" t="str">
        <f>IFERROR(__xludf.DUMMYFUNCTION("""COMPUTED_VALUE"""),"Ночной, старт в пятницу")</f>
        <v>Ночной, старт в пятницу</v>
      </c>
      <c r="E70" s="8" t="str">
        <f>IFERROR(__xludf.DUMMYFUNCTION("""COMPUTED_VALUE"""),"Фархутдинов Эльдар Рафаелович")</f>
        <v>Фархутдинов Эльдар Рафаелович</v>
      </c>
      <c r="F70" s="8"/>
      <c r="G70" s="8"/>
      <c r="H70" s="8">
        <f>IFERROR(__xludf.DUMMYFUNCTION("""COMPUTED_VALUE"""),1.0)</f>
        <v>1</v>
      </c>
    </row>
    <row r="71">
      <c r="A71" s="7">
        <f>IFERROR(__xludf.DUMMYFUNCTION("""COMPUTED_VALUE"""),72.0)</f>
        <v>72</v>
      </c>
      <c r="B71" s="8" t="str">
        <f>IFERROR(__xludf.DUMMYFUNCTION("""COMPUTED_VALUE"""),"Во имя гречки")</f>
        <v>Во имя гречки</v>
      </c>
      <c r="C71" s="8">
        <f>IFERROR(__xludf.DUMMYFUNCTION("""COMPUTED_VALUE"""),60.0)</f>
        <v>60</v>
      </c>
      <c r="D71" s="8" t="str">
        <f>IFERROR(__xludf.DUMMYFUNCTION("""COMPUTED_VALUE"""),"Дневной")</f>
        <v>Дневной</v>
      </c>
      <c r="E71" s="8" t="str">
        <f>IFERROR(__xludf.DUMMYFUNCTION("""COMPUTED_VALUE"""),"Блинов Дмитрий")</f>
        <v>Блинов Дмитрий</v>
      </c>
      <c r="F71" s="8" t="str">
        <f>IFERROR(__xludf.DUMMYFUNCTION("""COMPUTED_VALUE"""),"Степанова Аня")</f>
        <v>Степанова Аня</v>
      </c>
      <c r="G71" s="8"/>
      <c r="H71" s="8">
        <f>IFERROR(__xludf.DUMMYFUNCTION("""COMPUTED_VALUE"""),1.0)</f>
        <v>1</v>
      </c>
    </row>
    <row r="72">
      <c r="A72" s="7">
        <f>IFERROR(__xludf.DUMMYFUNCTION("""COMPUTED_VALUE"""),73.0)</f>
        <v>73</v>
      </c>
      <c r="B72" s="8"/>
      <c r="C72" s="8">
        <f>IFERROR(__xludf.DUMMYFUNCTION("""COMPUTED_VALUE"""),40.0)</f>
        <v>40</v>
      </c>
      <c r="D72" s="8" t="str">
        <f>IFERROR(__xludf.DUMMYFUNCTION("""COMPUTED_VALUE"""),"Дневной")</f>
        <v>Дневной</v>
      </c>
      <c r="E72" s="8" t="str">
        <f>IFERROR(__xludf.DUMMYFUNCTION("""COMPUTED_VALUE"""),"Лукьянов Андрей")</f>
        <v>Лукьянов Андрей</v>
      </c>
      <c r="F72" s="8"/>
      <c r="G72" s="8"/>
      <c r="H72" s="8"/>
    </row>
    <row r="73">
      <c r="A73" s="7">
        <f>IFERROR(__xludf.DUMMYFUNCTION("""COMPUTED_VALUE"""),74.0)</f>
        <v>74</v>
      </c>
      <c r="B73" s="8" t="str">
        <f>IFERROR(__xludf.DUMMYFUNCTION("""COMPUTED_VALUE"""),"Легион")</f>
        <v>Легион</v>
      </c>
      <c r="C73" s="8">
        <f>IFERROR(__xludf.DUMMYFUNCTION("""COMPUTED_VALUE"""),30.0)</f>
        <v>30</v>
      </c>
      <c r="D73" s="8" t="str">
        <f>IFERROR(__xludf.DUMMYFUNCTION("""COMPUTED_VALUE"""),"Дневной")</f>
        <v>Дневной</v>
      </c>
      <c r="E73" s="8" t="str">
        <f>IFERROR(__xludf.DUMMYFUNCTION("""COMPUTED_VALUE"""),"Вальчук Андрей Владимирович")</f>
        <v>Вальчук Андрей Владимирович</v>
      </c>
      <c r="F73" s="8"/>
      <c r="G73" s="8"/>
      <c r="H73" s="8"/>
    </row>
    <row r="74">
      <c r="A74" s="7">
        <f>IFERROR(__xludf.DUMMYFUNCTION("""COMPUTED_VALUE"""),75.0)</f>
        <v>75</v>
      </c>
      <c r="B74" s="8" t="str">
        <f>IFERROR(__xludf.DUMMYFUNCTION("""COMPUTED_VALUE"""),"Орден трехлитровых котлов")</f>
        <v>Орден трехлитровых котлов</v>
      </c>
      <c r="C74" s="8">
        <f>IFERROR(__xludf.DUMMYFUNCTION("""COMPUTED_VALUE"""),30.0)</f>
        <v>30</v>
      </c>
      <c r="D74" s="8" t="str">
        <f>IFERROR(__xludf.DUMMYFUNCTION("""COMPUTED_VALUE"""),"Дневной")</f>
        <v>Дневной</v>
      </c>
      <c r="E74" s="8" t="str">
        <f>IFERROR(__xludf.DUMMYFUNCTION("""COMPUTED_VALUE"""),"Капарулин Ефим")</f>
        <v>Капарулин Ефим</v>
      </c>
      <c r="F74" s="8"/>
      <c r="G74" s="8"/>
      <c r="H74" s="8"/>
    </row>
    <row r="75">
      <c r="A75" s="7">
        <f>IFERROR(__xludf.DUMMYFUNCTION("""COMPUTED_VALUE"""),76.0)</f>
        <v>76</v>
      </c>
      <c r="B75" s="8" t="str">
        <f>IFERROR(__xludf.DUMMYFUNCTION("""COMPUTED_VALUE"""),"Две сосны")</f>
        <v>Две сосны</v>
      </c>
      <c r="C75" s="8">
        <f>IFERROR(__xludf.DUMMYFUNCTION("""COMPUTED_VALUE"""),60.0)</f>
        <v>60</v>
      </c>
      <c r="D75" s="8" t="str">
        <f>IFERROR(__xludf.DUMMYFUNCTION("""COMPUTED_VALUE"""),"Дневной")</f>
        <v>Дневной</v>
      </c>
      <c r="E75" s="8" t="str">
        <f>IFERROR(__xludf.DUMMYFUNCTION("""COMPUTED_VALUE"""),"Андрей")</f>
        <v>Андрей</v>
      </c>
      <c r="F75" s="8" t="str">
        <f>IFERROR(__xludf.DUMMYFUNCTION("""COMPUTED_VALUE"""),"два")</f>
        <v>два</v>
      </c>
      <c r="G75" s="8" t="str">
        <f>IFERROR(__xludf.DUMMYFUNCTION("""COMPUTED_VALUE"""),"три")</f>
        <v>три</v>
      </c>
      <c r="H75" s="8">
        <f>IFERROR(__xludf.DUMMYFUNCTION("""COMPUTED_VALUE"""),3.0)</f>
        <v>3</v>
      </c>
    </row>
    <row r="76">
      <c r="A76" s="7">
        <f>IFERROR(__xludf.DUMMYFUNCTION("""COMPUTED_VALUE"""),77.0)</f>
        <v>77</v>
      </c>
      <c r="B76" s="8" t="str">
        <f>IFERROR(__xludf.DUMMYFUNCTION("""COMPUTED_VALUE"""),"Юный спасатель")</f>
        <v>Юный спасатель</v>
      </c>
      <c r="C76" s="8">
        <f>IFERROR(__xludf.DUMMYFUNCTION("""COMPUTED_VALUE"""),30.0)</f>
        <v>30</v>
      </c>
      <c r="D76" s="8" t="str">
        <f>IFERROR(__xludf.DUMMYFUNCTION("""COMPUTED_VALUE"""),"Дневной")</f>
        <v>Дневной</v>
      </c>
      <c r="E76" s="8" t="str">
        <f>IFERROR(__xludf.DUMMYFUNCTION("""COMPUTED_VALUE"""),"Мельников Сергей")</f>
        <v>Мельников Сергей</v>
      </c>
      <c r="F76" s="8" t="str">
        <f>IFERROR(__xludf.DUMMYFUNCTION("""COMPUTED_VALUE"""),"Балясов Андрей")</f>
        <v>Балясов Андрей</v>
      </c>
      <c r="G76" s="8" t="str">
        <f>IFERROR(__xludf.DUMMYFUNCTION("""COMPUTED_VALUE"""),"Борковская Кристина")</f>
        <v>Борковская Кристина</v>
      </c>
      <c r="H76" s="8"/>
    </row>
    <row r="77">
      <c r="A77" s="7"/>
      <c r="B77" s="8" t="str">
        <f>IFERROR(__xludf.DUMMYFUNCTION("""COMPUTED_VALUE"""),"Юный спасатель")</f>
        <v>Юный спасатель</v>
      </c>
      <c r="C77" s="8">
        <f>IFERROR(__xludf.DUMMYFUNCTION("""COMPUTED_VALUE"""),30.0)</f>
        <v>30</v>
      </c>
      <c r="D77" s="8" t="str">
        <f>IFERROR(__xludf.DUMMYFUNCTION("""COMPUTED_VALUE"""),"Дневной")</f>
        <v>Дневной</v>
      </c>
      <c r="E77" s="8" t="str">
        <f>IFERROR(__xludf.DUMMYFUNCTION("""COMPUTED_VALUE"""),"Васильев Алексей")</f>
        <v>Васильев Алексей</v>
      </c>
      <c r="F77" s="8" t="str">
        <f>IFERROR(__xludf.DUMMYFUNCTION("""COMPUTED_VALUE"""),"Агеев Иван")</f>
        <v>Агеев Иван</v>
      </c>
      <c r="G77" s="8" t="str">
        <f>IFERROR(__xludf.DUMMYFUNCTION("""COMPUTED_VALUE"""),"Тюрин Владимир")</f>
        <v>Тюрин Владимир</v>
      </c>
      <c r="H77" s="8"/>
    </row>
    <row r="78">
      <c r="A78" s="7"/>
      <c r="B78" s="8" t="str">
        <f>IFERROR(__xludf.DUMMYFUNCTION("""COMPUTED_VALUE"""),"Юный спасатель")</f>
        <v>Юный спасатель</v>
      </c>
      <c r="C78" s="8">
        <f>IFERROR(__xludf.DUMMYFUNCTION("""COMPUTED_VALUE"""),30.0)</f>
        <v>30</v>
      </c>
      <c r="D78" s="8" t="str">
        <f>IFERROR(__xludf.DUMMYFUNCTION("""COMPUTED_VALUE"""),"Дневной")</f>
        <v>Дневной</v>
      </c>
      <c r="E78" s="8" t="str">
        <f>IFERROR(__xludf.DUMMYFUNCTION("""COMPUTED_VALUE"""),"Кашин Артем")</f>
        <v>Кашин Артем</v>
      </c>
      <c r="F78" s="8" t="str">
        <f>IFERROR(__xludf.DUMMYFUNCTION("""COMPUTED_VALUE"""),"Дмитриев Алексей")</f>
        <v>Дмитриев Алексей</v>
      </c>
      <c r="G78" s="8" t="str">
        <f>IFERROR(__xludf.DUMMYFUNCTION("""COMPUTED_VALUE"""),"Кашев Андрей")</f>
        <v>Кашев Андрей</v>
      </c>
      <c r="H78" s="8"/>
    </row>
    <row r="79">
      <c r="A79" s="7">
        <f>IFERROR(__xludf.DUMMYFUNCTION("""COMPUTED_VALUE"""),78.0)</f>
        <v>78</v>
      </c>
      <c r="B79" s="8"/>
      <c r="C79" s="8">
        <f>IFERROR(__xludf.DUMMYFUNCTION("""COMPUTED_VALUE"""),40.0)</f>
        <v>40</v>
      </c>
      <c r="D79" s="8" t="str">
        <f>IFERROR(__xludf.DUMMYFUNCTION("""COMPUTED_VALUE"""),"Дневной")</f>
        <v>Дневной</v>
      </c>
      <c r="E79" s="8" t="str">
        <f>IFERROR(__xludf.DUMMYFUNCTION("""COMPUTED_VALUE"""),"Андрей Бурков")</f>
        <v>Андрей Бурков</v>
      </c>
      <c r="F79" s="8"/>
      <c r="G79" s="8"/>
      <c r="H79" s="8">
        <f>IFERROR(__xludf.DUMMYFUNCTION("""COMPUTED_VALUE"""),1.0)</f>
        <v>1</v>
      </c>
    </row>
    <row r="80">
      <c r="A80" s="7">
        <f>IFERROR(__xludf.DUMMYFUNCTION("""COMPUTED_VALUE"""),79.0)</f>
        <v>79</v>
      </c>
      <c r="B80" s="8" t="str">
        <f>IFERROR(__xludf.DUMMYFUNCTION("""COMPUTED_VALUE"""),"Евражки")</f>
        <v>Евражки</v>
      </c>
      <c r="C80" s="8">
        <f>IFERROR(__xludf.DUMMYFUNCTION("""COMPUTED_VALUE"""),40.0)</f>
        <v>40</v>
      </c>
      <c r="D80" s="8" t="str">
        <f>IFERROR(__xludf.DUMMYFUNCTION("""COMPUTED_VALUE"""),"Ночной, старт в пятницу")</f>
        <v>Ночной, старт в пятницу</v>
      </c>
      <c r="E80" s="8" t="str">
        <f>IFERROR(__xludf.DUMMYFUNCTION("""COMPUTED_VALUE"""),"Алексей")</f>
        <v>Алексей</v>
      </c>
      <c r="F80" s="8"/>
      <c r="G80" s="8"/>
      <c r="H80" s="8"/>
    </row>
    <row r="81">
      <c r="A81" s="7">
        <f>IFERROR(__xludf.DUMMYFUNCTION("""COMPUTED_VALUE"""),80.0)</f>
        <v>80</v>
      </c>
      <c r="B81" s="8" t="str">
        <f>IFERROR(__xludf.DUMMYFUNCTION("""COMPUTED_VALUE"""),"I'm sorry, Jon. I was hungry")</f>
        <v>I'm sorry, Jon. I was hungry</v>
      </c>
      <c r="C81" s="8">
        <f>IFERROR(__xludf.DUMMYFUNCTION("""COMPUTED_VALUE"""),60.0)</f>
        <v>60</v>
      </c>
      <c r="D81" s="8" t="str">
        <f>IFERROR(__xludf.DUMMYFUNCTION("""COMPUTED_VALUE"""),"Дневной")</f>
        <v>Дневной</v>
      </c>
      <c r="E81" s="8" t="str">
        <f>IFERROR(__xludf.DUMMYFUNCTION("""COMPUTED_VALUE"""),"Иван Бешкарев")</f>
        <v>Иван Бешкарев</v>
      </c>
      <c r="F81" s="8" t="str">
        <f>IFERROR(__xludf.DUMMYFUNCTION("""COMPUTED_VALUE"""),"Александр Никитин")</f>
        <v>Александр Никитин</v>
      </c>
      <c r="G81" s="8"/>
      <c r="H81" s="8"/>
    </row>
    <row r="82">
      <c r="A82" s="7">
        <f>IFERROR(__xludf.DUMMYFUNCTION("""COMPUTED_VALUE"""),81.0)</f>
        <v>81</v>
      </c>
      <c r="B82" s="8" t="str">
        <f>IFERROR(__xludf.DUMMYFUNCTION("""COMPUTED_VALUE"""),"Куба")</f>
        <v>Куба</v>
      </c>
      <c r="C82" s="8">
        <f>IFERROR(__xludf.DUMMYFUNCTION("""COMPUTED_VALUE"""),60.0)</f>
        <v>60</v>
      </c>
      <c r="D82" s="8" t="str">
        <f>IFERROR(__xludf.DUMMYFUNCTION("""COMPUTED_VALUE"""),"Дневной")</f>
        <v>Дневной</v>
      </c>
      <c r="E82" s="8" t="str">
        <f>IFERROR(__xludf.DUMMYFUNCTION("""COMPUTED_VALUE"""),"Иванов")</f>
        <v>Иванов</v>
      </c>
      <c r="F82" s="8"/>
      <c r="G82" s="8"/>
      <c r="H82" s="8"/>
    </row>
    <row r="83">
      <c r="A83" s="7">
        <f>IFERROR(__xludf.DUMMYFUNCTION("""COMPUTED_VALUE"""),82.0)</f>
        <v>82</v>
      </c>
      <c r="B83" s="8" t="str">
        <f>IFERROR(__xludf.DUMMYFUNCTION("""COMPUTED_VALUE"""),"Лесята")</f>
        <v>Лесята</v>
      </c>
      <c r="C83" s="8">
        <f>IFERROR(__xludf.DUMMYFUNCTION("""COMPUTED_VALUE"""),30.0)</f>
        <v>30</v>
      </c>
      <c r="D83" s="8" t="str">
        <f>IFERROR(__xludf.DUMMYFUNCTION("""COMPUTED_VALUE"""),"Дневной")</f>
        <v>Дневной</v>
      </c>
      <c r="E83" s="8" t="str">
        <f>IFERROR(__xludf.DUMMYFUNCTION("""COMPUTED_VALUE"""),"Алёна Хохлова")</f>
        <v>Алёна Хохлова</v>
      </c>
      <c r="F83" s="8"/>
      <c r="G83" s="8"/>
      <c r="H83" s="8"/>
    </row>
    <row r="84">
      <c r="A84" s="7">
        <f>IFERROR(__xludf.DUMMYFUNCTION("""COMPUTED_VALUE"""),83.0)</f>
        <v>83</v>
      </c>
      <c r="B84" s="8" t="str">
        <f>IFERROR(__xludf.DUMMYFUNCTION("""COMPUTED_VALUE"""),"Весски")</f>
        <v>Весски</v>
      </c>
      <c r="C84" s="8">
        <f>IFERROR(__xludf.DUMMYFUNCTION("""COMPUTED_VALUE"""),30.0)</f>
        <v>30</v>
      </c>
      <c r="D84" s="8" t="str">
        <f>IFERROR(__xludf.DUMMYFUNCTION("""COMPUTED_VALUE"""),"Дневной")</f>
        <v>Дневной</v>
      </c>
      <c r="E84" s="8" t="str">
        <f>IFERROR(__xludf.DUMMYFUNCTION("""COMPUTED_VALUE"""),"Дутов Павел Олегович ")</f>
        <v>Дутов Павел Олегович </v>
      </c>
      <c r="F84" s="8"/>
      <c r="G84" s="8"/>
      <c r="H84" s="8"/>
    </row>
    <row r="85">
      <c r="A85" s="7">
        <f>IFERROR(__xludf.DUMMYFUNCTION("""COMPUTED_VALUE"""),84.0)</f>
        <v>84</v>
      </c>
      <c r="B85" s="8" t="str">
        <f>IFERROR(__xludf.DUMMYFUNCTION("""COMPUTED_VALUE"""),"Лосячим")</f>
        <v>Лосячим</v>
      </c>
      <c r="C85" s="8">
        <f>IFERROR(__xludf.DUMMYFUNCTION("""COMPUTED_VALUE"""),60.0)</f>
        <v>60</v>
      </c>
      <c r="D85" s="8" t="str">
        <f>IFERROR(__xludf.DUMMYFUNCTION("""COMPUTED_VALUE"""),"Дневной")</f>
        <v>Дневной</v>
      </c>
      <c r="E85" s="8" t="str">
        <f>IFERROR(__xludf.DUMMYFUNCTION("""COMPUTED_VALUE"""),"Борзов Константин")</f>
        <v>Борзов Константин</v>
      </c>
      <c r="F85" s="8"/>
      <c r="G85" s="8"/>
      <c r="H85" s="8">
        <f>IFERROR(__xludf.DUMMYFUNCTION("""COMPUTED_VALUE"""),1.0)</f>
        <v>1</v>
      </c>
    </row>
    <row r="86">
      <c r="A86" s="7">
        <f>IFERROR(__xludf.DUMMYFUNCTION("""COMPUTED_VALUE"""),85.0)</f>
        <v>85</v>
      </c>
      <c r="B86" s="8" t="str">
        <f>IFERROR(__xludf.DUMMYFUNCTION("""COMPUTED_VALUE"""),"Весёлые кабанчики")</f>
        <v>Весёлые кабанчики</v>
      </c>
      <c r="C86" s="8">
        <f>IFERROR(__xludf.DUMMYFUNCTION("""COMPUTED_VALUE"""),30.0)</f>
        <v>30</v>
      </c>
      <c r="D86" s="8" t="str">
        <f>IFERROR(__xludf.DUMMYFUNCTION("""COMPUTED_VALUE"""),"Дневной")</f>
        <v>Дневной</v>
      </c>
      <c r="E86" s="8" t="str">
        <f>IFERROR(__xludf.DUMMYFUNCTION("""COMPUTED_VALUE"""),"Ксения Истомина ")</f>
        <v>Ксения Истомина </v>
      </c>
      <c r="F86" s="8" t="str">
        <f>IFERROR(__xludf.DUMMYFUNCTION("""COMPUTED_VALUE"""),"плюс 3 ")</f>
        <v>плюс 3 </v>
      </c>
      <c r="G86" s="8"/>
      <c r="H86" s="8"/>
    </row>
    <row r="87">
      <c r="A87" s="7">
        <f>IFERROR(__xludf.DUMMYFUNCTION("""COMPUTED_VALUE"""),86.0)</f>
        <v>86</v>
      </c>
      <c r="B87" s="8" t="str">
        <f>IFERROR(__xludf.DUMMYFUNCTION("""COMPUTED_VALUE"""),"Украденные копыта")</f>
        <v>Украденные копыта</v>
      </c>
      <c r="C87" s="8">
        <f>IFERROR(__xludf.DUMMYFUNCTION("""COMPUTED_VALUE"""),40.0)</f>
        <v>40</v>
      </c>
      <c r="D87" s="8" t="str">
        <f>IFERROR(__xludf.DUMMYFUNCTION("""COMPUTED_VALUE"""),"Дневной")</f>
        <v>Дневной</v>
      </c>
      <c r="E87" s="8" t="str">
        <f>IFERROR(__xludf.DUMMYFUNCTION("""COMPUTED_VALUE"""),"Дутов Данил")</f>
        <v>Дутов Данил</v>
      </c>
      <c r="F87" s="8" t="str">
        <f>IFERROR(__xludf.DUMMYFUNCTION("""COMPUTED_VALUE"""),"Леженин Илья")</f>
        <v>Леженин Илья</v>
      </c>
      <c r="G87" s="8" t="str">
        <f>IFERROR(__xludf.DUMMYFUNCTION("""COMPUTED_VALUE"""),"Быстряков Саша")</f>
        <v>Быстряков Саша</v>
      </c>
      <c r="H87" s="8"/>
    </row>
    <row r="88">
      <c r="A88" s="7">
        <f>IFERROR(__xludf.DUMMYFUNCTION("""COMPUTED_VALUE"""),87.0)</f>
        <v>87</v>
      </c>
      <c r="B88" s="8" t="str">
        <f>IFERROR(__xludf.DUMMYFUNCTION("""COMPUTED_VALUE"""),"Пик Балмера")</f>
        <v>Пик Балмера</v>
      </c>
      <c r="C88" s="8">
        <f>IFERROR(__xludf.DUMMYFUNCTION("""COMPUTED_VALUE"""),60.0)</f>
        <v>60</v>
      </c>
      <c r="D88" s="8" t="str">
        <f>IFERROR(__xludf.DUMMYFUNCTION("""COMPUTED_VALUE"""),"Дневной")</f>
        <v>Дневной</v>
      </c>
      <c r="E88" s="8" t="str">
        <f>IFERROR(__xludf.DUMMYFUNCTION("""COMPUTED_VALUE"""),"Шахова Дарья")</f>
        <v>Шахова Дарья</v>
      </c>
      <c r="F88" s="8"/>
      <c r="G88" s="8"/>
      <c r="H88" s="8">
        <f>IFERROR(__xludf.DUMMYFUNCTION("""COMPUTED_VALUE"""),1.0)</f>
        <v>1</v>
      </c>
    </row>
    <row r="89">
      <c r="A89" s="7">
        <f>IFERROR(__xludf.DUMMYFUNCTION("""COMPUTED_VALUE"""),88.0)</f>
        <v>88</v>
      </c>
      <c r="B89" s="8" t="str">
        <f>IFERROR(__xludf.DUMMYFUNCTION("""COMPUTED_VALUE"""),"Лично")</f>
        <v>Лично</v>
      </c>
      <c r="C89" s="8">
        <f>IFERROR(__xludf.DUMMYFUNCTION("""COMPUTED_VALUE"""),40.0)</f>
        <v>40</v>
      </c>
      <c r="D89" s="8" t="str">
        <f>IFERROR(__xludf.DUMMYFUNCTION("""COMPUTED_VALUE"""),"Дневной")</f>
        <v>Дневной</v>
      </c>
      <c r="E89" s="8" t="str">
        <f>IFERROR(__xludf.DUMMYFUNCTION("""COMPUTED_VALUE"""),"Мезрин Алексей")</f>
        <v>Мезрин Алексей</v>
      </c>
      <c r="F89" s="8"/>
      <c r="G89" s="8"/>
      <c r="H89" s="8">
        <f>IFERROR(__xludf.DUMMYFUNCTION("""COMPUTED_VALUE"""),1.0)</f>
        <v>1</v>
      </c>
    </row>
    <row r="90">
      <c r="A90" s="7">
        <f>IFERROR(__xludf.DUMMYFUNCTION("""COMPUTED_VALUE"""),89.0)</f>
        <v>89</v>
      </c>
      <c r="B90" s="8" t="str">
        <f>IFERROR(__xludf.DUMMYFUNCTION("""COMPUTED_VALUE"""),"Семь верст не крюк")</f>
        <v>Семь верст не крюк</v>
      </c>
      <c r="C90" s="8">
        <f>IFERROR(__xludf.DUMMYFUNCTION("""COMPUTED_VALUE"""),30.0)</f>
        <v>30</v>
      </c>
      <c r="D90" s="8" t="str">
        <f>IFERROR(__xludf.DUMMYFUNCTION("""COMPUTED_VALUE"""),"Дневной")</f>
        <v>Дневной</v>
      </c>
      <c r="E90" s="8" t="str">
        <f>IFERROR(__xludf.DUMMYFUNCTION("""COMPUTED_VALUE"""),"Мария Лемак")</f>
        <v>Мария Лемак</v>
      </c>
      <c r="F90" s="8" t="str">
        <f>IFERROR(__xludf.DUMMYFUNCTION("""COMPUTED_VALUE"""),"Ирина Селянова")</f>
        <v>Ирина Селянова</v>
      </c>
      <c r="G90" s="8"/>
      <c r="H90" s="8"/>
    </row>
    <row r="91">
      <c r="A91" s="7">
        <f>IFERROR(__xludf.DUMMYFUNCTION("""COMPUTED_VALUE"""),90.0)</f>
        <v>90</v>
      </c>
      <c r="B91" s="8" t="str">
        <f>IFERROR(__xludf.DUMMYFUNCTION("""COMPUTED_VALUE"""),"маятниковые миграции")</f>
        <v>маятниковые миграции</v>
      </c>
      <c r="C91" s="8">
        <f>IFERROR(__xludf.DUMMYFUNCTION("""COMPUTED_VALUE"""),40.0)</f>
        <v>40</v>
      </c>
      <c r="D91" s="8" t="str">
        <f>IFERROR(__xludf.DUMMYFUNCTION("""COMPUTED_VALUE"""),"Дневной")</f>
        <v>Дневной</v>
      </c>
      <c r="E91" s="8" t="str">
        <f>IFERROR(__xludf.DUMMYFUNCTION("""COMPUTED_VALUE"""),"Кирилл Кострицын")</f>
        <v>Кирилл Кострицын</v>
      </c>
      <c r="F91" s="8" t="str">
        <f>IFERROR(__xludf.DUMMYFUNCTION("""COMPUTED_VALUE"""),"Светлана Малютина")</f>
        <v>Светлана Малютина</v>
      </c>
      <c r="G91" s="8"/>
      <c r="H91" s="8"/>
    </row>
    <row r="92">
      <c r="A92" s="7">
        <f>IFERROR(__xludf.DUMMYFUNCTION("""COMPUTED_VALUE"""),91.0)</f>
        <v>91</v>
      </c>
      <c r="B92" s="8" t="str">
        <f>IFERROR(__xludf.DUMMYFUNCTION("""COMPUTED_VALUE"""),"Сыроноги")</f>
        <v>Сыроноги</v>
      </c>
      <c r="C92" s="8">
        <f>IFERROR(__xludf.DUMMYFUNCTION("""COMPUTED_VALUE"""),30.0)</f>
        <v>30</v>
      </c>
      <c r="D92" s="8" t="str">
        <f>IFERROR(__xludf.DUMMYFUNCTION("""COMPUTED_VALUE"""),"Дневной")</f>
        <v>Дневной</v>
      </c>
      <c r="E92" s="8" t="str">
        <f>IFERROR(__xludf.DUMMYFUNCTION("""COMPUTED_VALUE"""),"Сидоров Игорь")</f>
        <v>Сидоров Игорь</v>
      </c>
      <c r="F92" s="8" t="str">
        <f>IFERROR(__xludf.DUMMYFUNCTION("""COMPUTED_VALUE"""),"Матвеева Людмила")</f>
        <v>Матвеева Людмила</v>
      </c>
      <c r="G92" s="8"/>
      <c r="H92" s="8"/>
    </row>
    <row r="93">
      <c r="A93" s="7">
        <f>IFERROR(__xludf.DUMMYFUNCTION("""COMPUTED_VALUE"""),92.0)</f>
        <v>92</v>
      </c>
      <c r="B93" s="8" t="str">
        <f>IFERROR(__xludf.DUMMYFUNCTION("""COMPUTED_VALUE"""),"Амбициозные черепахи")</f>
        <v>Амбициозные черепахи</v>
      </c>
      <c r="C93" s="8">
        <f>IFERROR(__xludf.DUMMYFUNCTION("""COMPUTED_VALUE"""),30.0)</f>
        <v>30</v>
      </c>
      <c r="D93" s="8" t="str">
        <f>IFERROR(__xludf.DUMMYFUNCTION("""COMPUTED_VALUE"""),"Дневной")</f>
        <v>Дневной</v>
      </c>
      <c r="E93" s="8" t="str">
        <f>IFERROR(__xludf.DUMMYFUNCTION("""COMPUTED_VALUE"""),"Иващенко Александр")</f>
        <v>Иващенко Александр</v>
      </c>
      <c r="F93" s="8" t="str">
        <f>IFERROR(__xludf.DUMMYFUNCTION("""COMPUTED_VALUE"""),"Хохлов Слава")</f>
        <v>Хохлов Слава</v>
      </c>
      <c r="G93" s="8" t="str">
        <f>IFERROR(__xludf.DUMMYFUNCTION("""COMPUTED_VALUE"""),"Егоршева Зоя")</f>
        <v>Егоршева Зоя</v>
      </c>
      <c r="H93" s="8">
        <f>IFERROR(__xludf.DUMMYFUNCTION("""COMPUTED_VALUE"""),3.0)</f>
        <v>3</v>
      </c>
    </row>
    <row r="94">
      <c r="A94" s="7">
        <f>IFERROR(__xludf.DUMMYFUNCTION("""COMPUTED_VALUE"""),93.0)</f>
        <v>93</v>
      </c>
      <c r="B94" s="8" t="str">
        <f>IFERROR(__xludf.DUMMYFUNCTION("""COMPUTED_VALUE"""),"Медоеды")</f>
        <v>Медоеды</v>
      </c>
      <c r="C94" s="8">
        <f>IFERROR(__xludf.DUMMYFUNCTION("""COMPUTED_VALUE"""),30.0)</f>
        <v>30</v>
      </c>
      <c r="D94" s="8" t="str">
        <f>IFERROR(__xludf.DUMMYFUNCTION("""COMPUTED_VALUE"""),"Дневной")</f>
        <v>Дневной</v>
      </c>
      <c r="E94" s="8" t="str">
        <f>IFERROR(__xludf.DUMMYFUNCTION("""COMPUTED_VALUE"""),"Кирилл Романов")</f>
        <v>Кирилл Романов</v>
      </c>
      <c r="F94" s="8" t="str">
        <f>IFERROR(__xludf.DUMMYFUNCTION("""COMPUTED_VALUE"""),"Карпова Анастасия")</f>
        <v>Карпова Анастасия</v>
      </c>
      <c r="G94" s="8" t="str">
        <f>IFERROR(__xludf.DUMMYFUNCTION("""COMPUTED_VALUE"""),"Новикова Тая")</f>
        <v>Новикова Тая</v>
      </c>
      <c r="H94" s="8"/>
    </row>
    <row r="95">
      <c r="A95" s="7">
        <f>IFERROR(__xludf.DUMMYFUNCTION("""COMPUTED_VALUE"""),94.0)</f>
        <v>94</v>
      </c>
      <c r="B95" s="8" t="str">
        <f>IFERROR(__xludf.DUMMYFUNCTION("""COMPUTED_VALUE"""),"Тугеза")</f>
        <v>Тугеза</v>
      </c>
      <c r="C95" s="8">
        <f>IFERROR(__xludf.DUMMYFUNCTION("""COMPUTED_VALUE"""),40.0)</f>
        <v>40</v>
      </c>
      <c r="D95" s="8" t="str">
        <f>IFERROR(__xludf.DUMMYFUNCTION("""COMPUTED_VALUE"""),"Дневной")</f>
        <v>Дневной</v>
      </c>
      <c r="E95" s="8" t="str">
        <f>IFERROR(__xludf.DUMMYFUNCTION("""COMPUTED_VALUE"""),"Джонни Уолкер")</f>
        <v>Джонни Уолкер</v>
      </c>
      <c r="F95" s="8" t="str">
        <f>IFERROR(__xludf.DUMMYFUNCTION("""COMPUTED_VALUE"""),"Кровавая Мэри")</f>
        <v>Кровавая Мэри</v>
      </c>
      <c r="G95" s="8"/>
      <c r="H95" s="8">
        <f>IFERROR(__xludf.DUMMYFUNCTION("""COMPUTED_VALUE"""),2.0)</f>
        <v>2</v>
      </c>
    </row>
    <row r="96">
      <c r="A96" s="7">
        <f>IFERROR(__xludf.DUMMYFUNCTION("""COMPUTED_VALUE"""),95.0)</f>
        <v>95</v>
      </c>
      <c r="B96" s="8" t="str">
        <f>IFERROR(__xludf.DUMMYFUNCTION("""COMPUTED_VALUE"""),"она тебя сожрёт")</f>
        <v>она тебя сожрёт</v>
      </c>
      <c r="C96" s="8">
        <f>IFERROR(__xludf.DUMMYFUNCTION("""COMPUTED_VALUE"""),40.0)</f>
        <v>40</v>
      </c>
      <c r="D96" s="8" t="str">
        <f>IFERROR(__xludf.DUMMYFUNCTION("""COMPUTED_VALUE"""),"Дневной")</f>
        <v>Дневной</v>
      </c>
      <c r="E96" s="8" t="str">
        <f>IFERROR(__xludf.DUMMYFUNCTION("""COMPUTED_VALUE"""),"Зацарин Владимир")</f>
        <v>Зацарин Владимир</v>
      </c>
      <c r="F96" s="8" t="str">
        <f>IFERROR(__xludf.DUMMYFUNCTION("""COMPUTED_VALUE"""),"Аникина Анна")</f>
        <v>Аникина Анна</v>
      </c>
      <c r="G96" s="8"/>
      <c r="H96" s="8">
        <f>IFERROR(__xludf.DUMMYFUNCTION("""COMPUTED_VALUE"""),1.0)</f>
        <v>1</v>
      </c>
    </row>
    <row r="97">
      <c r="A97" s="7">
        <f>IFERROR(__xludf.DUMMYFUNCTION("""COMPUTED_VALUE"""),96.0)</f>
        <v>96</v>
      </c>
      <c r="B97" s="8" t="str">
        <f>IFERROR(__xludf.DUMMYFUNCTION("""COMPUTED_VALUE"""),"Инженеры")</f>
        <v>Инженеры</v>
      </c>
      <c r="C97" s="8">
        <f>IFERROR(__xludf.DUMMYFUNCTION("""COMPUTED_VALUE"""),30.0)</f>
        <v>30</v>
      </c>
      <c r="D97" s="8" t="str">
        <f>IFERROR(__xludf.DUMMYFUNCTION("""COMPUTED_VALUE"""),"Дневной")</f>
        <v>Дневной</v>
      </c>
      <c r="E97" s="8" t="str">
        <f>IFERROR(__xludf.DUMMYFUNCTION("""COMPUTED_VALUE"""),"Миша")</f>
        <v>Миша</v>
      </c>
      <c r="F97" s="8" t="str">
        <f>IFERROR(__xludf.DUMMYFUNCTION("""COMPUTED_VALUE"""),"Михаил")</f>
        <v>Михаил</v>
      </c>
      <c r="G97" s="8" t="str">
        <f>IFERROR(__xludf.DUMMYFUNCTION("""COMPUTED_VALUE"""),"Антон")</f>
        <v>Антон</v>
      </c>
      <c r="H97" s="8"/>
    </row>
    <row r="98">
      <c r="A98" s="7">
        <f>IFERROR(__xludf.DUMMYFUNCTION("""COMPUTED_VALUE"""),97.0)</f>
        <v>97</v>
      </c>
      <c r="B98" s="8" t="str">
        <f>IFERROR(__xludf.DUMMYFUNCTION("""COMPUTED_VALUE"""),"Неутомимые ходоки")</f>
        <v>Неутомимые ходоки</v>
      </c>
      <c r="C98" s="8">
        <f>IFERROR(__xludf.DUMMYFUNCTION("""COMPUTED_VALUE"""),30.0)</f>
        <v>30</v>
      </c>
      <c r="D98" s="8" t="str">
        <f>IFERROR(__xludf.DUMMYFUNCTION("""COMPUTED_VALUE"""),"Дневной")</f>
        <v>Дневной</v>
      </c>
      <c r="E98" s="8" t="str">
        <f>IFERROR(__xludf.DUMMYFUNCTION("""COMPUTED_VALUE"""),"Филенков Кирилл ")</f>
        <v>Филенков Кирилл </v>
      </c>
      <c r="F98" s="8" t="str">
        <f>IFERROR(__xludf.DUMMYFUNCTION("""COMPUTED_VALUE"""),"Авдонин Виктор ")</f>
        <v>Авдонин Виктор </v>
      </c>
      <c r="G98" s="8" t="str">
        <f>IFERROR(__xludf.DUMMYFUNCTION("""COMPUTED_VALUE"""),"Мулдамуратов Айваз ")</f>
        <v>Мулдамуратов Айваз </v>
      </c>
      <c r="H98" s="8">
        <f>IFERROR(__xludf.DUMMYFUNCTION("""COMPUTED_VALUE"""),3.0)</f>
        <v>3</v>
      </c>
    </row>
    <row r="99">
      <c r="A99" s="7">
        <f>IFERROR(__xludf.DUMMYFUNCTION("""COMPUTED_VALUE"""),98.0)</f>
        <v>98</v>
      </c>
      <c r="B99" s="8" t="str">
        <f>IFERROR(__xludf.DUMMYFUNCTION("""COMPUTED_VALUE"""),"Abris")</f>
        <v>Abris</v>
      </c>
      <c r="C99" s="8">
        <f>IFERROR(__xludf.DUMMYFUNCTION("""COMPUTED_VALUE"""),30.0)</f>
        <v>30</v>
      </c>
      <c r="D99" s="8" t="str">
        <f>IFERROR(__xludf.DUMMYFUNCTION("""COMPUTED_VALUE"""),"Дневной")</f>
        <v>Дневной</v>
      </c>
      <c r="E99" s="8" t="str">
        <f>IFERROR(__xludf.DUMMYFUNCTION("""COMPUTED_VALUE"""),"владимир Куликов")</f>
        <v>владимир Куликов</v>
      </c>
      <c r="F99" s="8"/>
      <c r="G99" s="8"/>
      <c r="H99" s="8"/>
    </row>
    <row r="100">
      <c r="A100" s="7">
        <f>IFERROR(__xludf.DUMMYFUNCTION("""COMPUTED_VALUE"""),99.0)</f>
        <v>99</v>
      </c>
      <c r="B100" s="8" t="str">
        <f>IFERROR(__xludf.DUMMYFUNCTION("""COMPUTED_VALUE"""),"Тот самый")</f>
        <v>Тот самый</v>
      </c>
      <c r="C100" s="8">
        <f>IFERROR(__xludf.DUMMYFUNCTION("""COMPUTED_VALUE"""),100.0)</f>
        <v>100</v>
      </c>
      <c r="D100" s="8" t="str">
        <f>IFERROR(__xludf.DUMMYFUNCTION("""COMPUTED_VALUE"""),"Ночной, старт в пятницу")</f>
        <v>Ночной, старт в пятницу</v>
      </c>
      <c r="E100" s="8" t="str">
        <f>IFERROR(__xludf.DUMMYFUNCTION("""COMPUTED_VALUE"""),"Левандовский")</f>
        <v>Левандовский</v>
      </c>
      <c r="F100" s="8"/>
      <c r="G100" s="8"/>
      <c r="H100" s="8">
        <f>IFERROR(__xludf.DUMMYFUNCTION("""COMPUTED_VALUE"""),1.0)</f>
        <v>1</v>
      </c>
    </row>
    <row r="101">
      <c r="A101" s="7">
        <f>IFERROR(__xludf.DUMMYFUNCTION("""COMPUTED_VALUE"""),100.0)</f>
        <v>100</v>
      </c>
      <c r="B101" s="8" t="str">
        <f>IFERROR(__xludf.DUMMYFUNCTION("""COMPUTED_VALUE"""),"Стрекуздряблики")</f>
        <v>Стрекуздряблики</v>
      </c>
      <c r="C101" s="8">
        <f>IFERROR(__xludf.DUMMYFUNCTION("""COMPUTED_VALUE"""),100.0)</f>
        <v>100</v>
      </c>
      <c r="D101" s="8" t="str">
        <f>IFERROR(__xludf.DUMMYFUNCTION("""COMPUTED_VALUE"""),"Ночной, старт в пятницу")</f>
        <v>Ночной, старт в пятницу</v>
      </c>
      <c r="E101" s="8" t="str">
        <f>IFERROR(__xludf.DUMMYFUNCTION("""COMPUTED_VALUE"""),"Козодаев Андрей")</f>
        <v>Козодаев Андрей</v>
      </c>
      <c r="F101" s="8"/>
      <c r="G101" s="8"/>
      <c r="H101" s="8"/>
    </row>
    <row r="102">
      <c r="A102" s="7">
        <f>IFERROR(__xludf.DUMMYFUNCTION("""COMPUTED_VALUE"""),101.0)</f>
        <v>101</v>
      </c>
      <c r="B102" s="8" t="str">
        <f>IFERROR(__xludf.DUMMYFUNCTION("""COMPUTED_VALUE"""),"Бешеные агрономы 1")</f>
        <v>Бешеные агрономы 1</v>
      </c>
      <c r="C102" s="8">
        <f>IFERROR(__xludf.DUMMYFUNCTION("""COMPUTED_VALUE"""),30.0)</f>
        <v>30</v>
      </c>
      <c r="D102" s="8" t="str">
        <f>IFERROR(__xludf.DUMMYFUNCTION("""COMPUTED_VALUE"""),"Дневной")</f>
        <v>Дневной</v>
      </c>
      <c r="E102" s="8" t="str">
        <f>IFERROR(__xludf.DUMMYFUNCTION("""COMPUTED_VALUE"""),"Койнов Павел")</f>
        <v>Койнов Павел</v>
      </c>
      <c r="F102" s="8" t="str">
        <f>IFERROR(__xludf.DUMMYFUNCTION("""COMPUTED_VALUE"""),"Лобынцев Антон")</f>
        <v>Лобынцев Антон</v>
      </c>
      <c r="G102" s="8" t="str">
        <f>IFERROR(__xludf.DUMMYFUNCTION("""COMPUTED_VALUE"""),"Екатерина Юденичева")</f>
        <v>Екатерина Юденичева</v>
      </c>
      <c r="H102" s="8"/>
    </row>
    <row r="103">
      <c r="A103" s="7">
        <f>IFERROR(__xludf.DUMMYFUNCTION("""COMPUTED_VALUE"""),102.0)</f>
        <v>102</v>
      </c>
      <c r="B103" s="8" t="str">
        <f>IFERROR(__xludf.DUMMYFUNCTION("""COMPUTED_VALUE"""),"Бешеные агрономы 2")</f>
        <v>Бешеные агрономы 2</v>
      </c>
      <c r="C103" s="8">
        <f>IFERROR(__xludf.DUMMYFUNCTION("""COMPUTED_VALUE"""),30.0)</f>
        <v>30</v>
      </c>
      <c r="D103" s="8" t="str">
        <f>IFERROR(__xludf.DUMMYFUNCTION("""COMPUTED_VALUE"""),"Дневной")</f>
        <v>Дневной</v>
      </c>
      <c r="E103" s="8" t="str">
        <f>IFERROR(__xludf.DUMMYFUNCTION("""COMPUTED_VALUE"""),"Маркина Ирина")</f>
        <v>Маркина Ирина</v>
      </c>
      <c r="F103" s="8" t="str">
        <f>IFERROR(__xludf.DUMMYFUNCTION("""COMPUTED_VALUE"""),"Долгова Надежда")</f>
        <v>Долгова Надежда</v>
      </c>
      <c r="G103" s="8" t="str">
        <f>IFERROR(__xludf.DUMMYFUNCTION("""COMPUTED_VALUE"""),"Койнова Алена ")</f>
        <v>Койнова Алена </v>
      </c>
      <c r="H103" s="8"/>
    </row>
    <row r="104">
      <c r="A104" s="7">
        <f>IFERROR(__xludf.DUMMYFUNCTION("""COMPUTED_VALUE"""),103.0)</f>
        <v>103</v>
      </c>
      <c r="B104" s="8" t="str">
        <f>IFERROR(__xludf.DUMMYFUNCTION("""COMPUTED_VALUE"""),"Гравицап")</f>
        <v>Гравицап</v>
      </c>
      <c r="C104" s="8">
        <f>IFERROR(__xludf.DUMMYFUNCTION("""COMPUTED_VALUE"""),40.0)</f>
        <v>40</v>
      </c>
      <c r="D104" s="8" t="str">
        <f>IFERROR(__xludf.DUMMYFUNCTION("""COMPUTED_VALUE"""),"Ночной, старт в пятницу")</f>
        <v>Ночной, старт в пятницу</v>
      </c>
      <c r="E104" s="8" t="str">
        <f>IFERROR(__xludf.DUMMYFUNCTION("""COMPUTED_VALUE"""),"Караев Михаил ")</f>
        <v>Караев Михаил </v>
      </c>
      <c r="F104" s="8" t="str">
        <f>IFERROR(__xludf.DUMMYFUNCTION("""COMPUTED_VALUE"""),"Арсеев Дмитрий ")</f>
        <v>Арсеев Дмитрий </v>
      </c>
      <c r="G104" s="8"/>
      <c r="H104" s="8">
        <f>IFERROR(__xludf.DUMMYFUNCTION("""COMPUTED_VALUE"""),2.0)</f>
        <v>2</v>
      </c>
    </row>
    <row r="105">
      <c r="A105" s="7">
        <f>IFERROR(__xludf.DUMMYFUNCTION("""COMPUTED_VALUE"""),104.0)</f>
        <v>104</v>
      </c>
      <c r="B105" s="8"/>
      <c r="C105" s="8">
        <f>IFERROR(__xludf.DUMMYFUNCTION("""COMPUTED_VALUE"""),30.0)</f>
        <v>30</v>
      </c>
      <c r="D105" s="8" t="str">
        <f>IFERROR(__xludf.DUMMYFUNCTION("""COMPUTED_VALUE"""),"Дневной")</f>
        <v>Дневной</v>
      </c>
      <c r="E105" s="8" t="str">
        <f>IFERROR(__xludf.DUMMYFUNCTION("""COMPUTED_VALUE"""),"Юрий")</f>
        <v>Юрий</v>
      </c>
      <c r="F105" s="8"/>
      <c r="G105" s="8"/>
      <c r="H105" s="8"/>
    </row>
    <row r="106">
      <c r="A106" s="7">
        <f>IFERROR(__xludf.DUMMYFUNCTION("""COMPUTED_VALUE"""),105.0)</f>
        <v>105</v>
      </c>
      <c r="B106" s="8" t="str">
        <f>IFERROR(__xludf.DUMMYFUNCTION("""COMPUTED_VALUE"""),"Абрис")</f>
        <v>Абрис</v>
      </c>
      <c r="C106" s="8">
        <f>IFERROR(__xludf.DUMMYFUNCTION("""COMPUTED_VALUE"""),30.0)</f>
        <v>30</v>
      </c>
      <c r="D106" s="8" t="str">
        <f>IFERROR(__xludf.DUMMYFUNCTION("""COMPUTED_VALUE"""),"Дневной")</f>
        <v>Дневной</v>
      </c>
      <c r="E106" s="8" t="str">
        <f>IFERROR(__xludf.DUMMYFUNCTION("""COMPUTED_VALUE"""),"Евстигнеева Елизавета")</f>
        <v>Евстигнеева Елизавета</v>
      </c>
      <c r="F106" s="8" t="str">
        <f>IFERROR(__xludf.DUMMYFUNCTION("""COMPUTED_VALUE"""),"Клитина Галина")</f>
        <v>Клитина Галина</v>
      </c>
      <c r="G106" s="8"/>
      <c r="H106" s="8">
        <f>IFERROR(__xludf.DUMMYFUNCTION("""COMPUTED_VALUE"""),1.0)</f>
        <v>1</v>
      </c>
    </row>
    <row r="107">
      <c r="A107" s="7">
        <f>IFERROR(__xludf.DUMMYFUNCTION("""COMPUTED_VALUE"""),106.0)</f>
        <v>106</v>
      </c>
      <c r="B107" s="8"/>
      <c r="C107" s="8">
        <f>IFERROR(__xludf.DUMMYFUNCTION("""COMPUTED_VALUE"""),30.0)</f>
        <v>30</v>
      </c>
      <c r="D107" s="8" t="str">
        <f>IFERROR(__xludf.DUMMYFUNCTION("""COMPUTED_VALUE"""),"Дневной")</f>
        <v>Дневной</v>
      </c>
      <c r="E107" s="8" t="str">
        <f>IFERROR(__xludf.DUMMYFUNCTION("""COMPUTED_VALUE"""),"Владимир")</f>
        <v>Владимир</v>
      </c>
      <c r="F107" s="8"/>
      <c r="G107" s="8"/>
      <c r="H107" s="8"/>
    </row>
    <row r="108">
      <c r="A108" s="7">
        <f>IFERROR(__xludf.DUMMYFUNCTION("""COMPUTED_VALUE"""),107.0)</f>
        <v>107</v>
      </c>
      <c r="B108" s="8" t="str">
        <f>IFERROR(__xludf.DUMMYFUNCTION("""COMPUTED_VALUE"""),"Ползущий хорёк")</f>
        <v>Ползущий хорёк</v>
      </c>
      <c r="C108" s="8">
        <f>IFERROR(__xludf.DUMMYFUNCTION("""COMPUTED_VALUE"""),30.0)</f>
        <v>30</v>
      </c>
      <c r="D108" s="8" t="str">
        <f>IFERROR(__xludf.DUMMYFUNCTION("""COMPUTED_VALUE"""),"Ночной, старт в пятницу")</f>
        <v>Ночной, старт в пятницу</v>
      </c>
      <c r="E108" s="8" t="str">
        <f>IFERROR(__xludf.DUMMYFUNCTION("""COMPUTED_VALUE"""),"Кищенко Ярослав")</f>
        <v>Кищенко Ярослав</v>
      </c>
      <c r="F108" s="8"/>
      <c r="G108" s="8"/>
      <c r="H108" s="8"/>
    </row>
    <row r="109">
      <c r="A109" s="7">
        <f>IFERROR(__xludf.DUMMYFUNCTION("""COMPUTED_VALUE"""),108.0)</f>
        <v>108</v>
      </c>
      <c r="B109" s="8" t="str">
        <f>IFERROR(__xludf.DUMMYFUNCTION("""COMPUTED_VALUE"""),"Луч")</f>
        <v>Луч</v>
      </c>
      <c r="C109" s="8">
        <f>IFERROR(__xludf.DUMMYFUNCTION("""COMPUTED_VALUE"""),30.0)</f>
        <v>30</v>
      </c>
      <c r="D109" s="8" t="str">
        <f>IFERROR(__xludf.DUMMYFUNCTION("""COMPUTED_VALUE"""),"Дневной")</f>
        <v>Дневной</v>
      </c>
      <c r="E109" s="8" t="str">
        <f>IFERROR(__xludf.DUMMYFUNCTION("""COMPUTED_VALUE"""),"Ирина")</f>
        <v>Ирина</v>
      </c>
      <c r="F109" s="8"/>
      <c r="G109" s="8"/>
      <c r="H109" s="8">
        <f>IFERROR(__xludf.DUMMYFUNCTION("""COMPUTED_VALUE"""),0.0)</f>
        <v>0</v>
      </c>
    </row>
    <row r="110">
      <c r="A110" s="7">
        <f>IFERROR(__xludf.DUMMYFUNCTION("""COMPUTED_VALUE"""),109.0)</f>
        <v>109</v>
      </c>
      <c r="B110" s="8" t="str">
        <f>IFERROR(__xludf.DUMMYFUNCTION("""COMPUTED_VALUE"""),"5 километров - не крюк")</f>
        <v>5 километров - не крюк</v>
      </c>
      <c r="C110" s="8">
        <f>IFERROR(__xludf.DUMMYFUNCTION("""COMPUTED_VALUE"""),60.0)</f>
        <v>60</v>
      </c>
      <c r="D110" s="8" t="str">
        <f>IFERROR(__xludf.DUMMYFUNCTION("""COMPUTED_VALUE"""),"Дневной")</f>
        <v>Дневной</v>
      </c>
      <c r="E110" s="8" t="str">
        <f>IFERROR(__xludf.DUMMYFUNCTION("""COMPUTED_VALUE"""),"Евгений Шляков")</f>
        <v>Евгений Шляков</v>
      </c>
      <c r="F110" s="8" t="str">
        <f>IFERROR(__xludf.DUMMYFUNCTION("""COMPUTED_VALUE"""),"Юлия Вороненко")</f>
        <v>Юлия Вороненко</v>
      </c>
      <c r="G110" s="8" t="str">
        <f>IFERROR(__xludf.DUMMYFUNCTION("""COMPUTED_VALUE"""),"Александр Рахманов")</f>
        <v>Александр Рахманов</v>
      </c>
      <c r="H110" s="8"/>
    </row>
    <row r="111">
      <c r="A111" s="7">
        <f>IFERROR(__xludf.DUMMYFUNCTION("""COMPUTED_VALUE"""),110.0)</f>
        <v>110</v>
      </c>
      <c r="B111" s="8"/>
      <c r="C111" s="8">
        <f>IFERROR(__xludf.DUMMYFUNCTION("""COMPUTED_VALUE"""),30.0)</f>
        <v>30</v>
      </c>
      <c r="D111" s="8" t="str">
        <f>IFERROR(__xludf.DUMMYFUNCTION("""COMPUTED_VALUE"""),"Дневной")</f>
        <v>Дневной</v>
      </c>
      <c r="E111" s="8" t="str">
        <f>IFERROR(__xludf.DUMMYFUNCTION("""COMPUTED_VALUE"""),"Анна")</f>
        <v>Анна</v>
      </c>
      <c r="F111" s="8"/>
      <c r="G111" s="8"/>
      <c r="H111" s="8"/>
    </row>
    <row r="112">
      <c r="A112" s="7">
        <f>IFERROR(__xludf.DUMMYFUNCTION("""COMPUTED_VALUE"""),111.0)</f>
        <v>111</v>
      </c>
      <c r="B112" s="8" t="str">
        <f>IFERROR(__xludf.DUMMYFUNCTION("""COMPUTED_VALUE"""),"Хатифнатт")</f>
        <v>Хатифнатт</v>
      </c>
      <c r="C112" s="8">
        <f>IFERROR(__xludf.DUMMYFUNCTION("""COMPUTED_VALUE"""),30.0)</f>
        <v>30</v>
      </c>
      <c r="D112" s="8" t="str">
        <f>IFERROR(__xludf.DUMMYFUNCTION("""COMPUTED_VALUE"""),"Дневной")</f>
        <v>Дневной</v>
      </c>
      <c r="E112" s="8" t="str">
        <f>IFERROR(__xludf.DUMMYFUNCTION("""COMPUTED_VALUE"""),"Иван Забросаев")</f>
        <v>Иван Забросаев</v>
      </c>
      <c r="F112" s="8"/>
      <c r="G112" s="8"/>
      <c r="H112" s="8"/>
    </row>
    <row r="113">
      <c r="A113" s="7">
        <f>IFERROR(__xludf.DUMMYFUNCTION("""COMPUTED_VALUE"""),119.0)</f>
        <v>119</v>
      </c>
      <c r="B113" s="8" t="str">
        <f>IFERROR(__xludf.DUMMYFUNCTION("""COMPUTED_VALUE"""),"Трое из Канохи")</f>
        <v>Трое из Канохи</v>
      </c>
      <c r="C113" s="8">
        <f>IFERROR(__xludf.DUMMYFUNCTION("""COMPUTED_VALUE"""),30.0)</f>
        <v>30</v>
      </c>
      <c r="D113" s="8" t="str">
        <f>IFERROR(__xludf.DUMMYFUNCTION("""COMPUTED_VALUE"""),"Дневной")</f>
        <v>Дневной</v>
      </c>
      <c r="E113" s="8" t="str">
        <f>IFERROR(__xludf.DUMMYFUNCTION("""COMPUTED_VALUE"""),"Аксенова Галина")</f>
        <v>Аксенова Галина</v>
      </c>
      <c r="F113" s="8" t="str">
        <f>IFERROR(__xludf.DUMMYFUNCTION("""COMPUTED_VALUE"""),"Аксенов Андрей")</f>
        <v>Аксенов Андрей</v>
      </c>
      <c r="G113" s="8" t="str">
        <f>IFERROR(__xludf.DUMMYFUNCTION("""COMPUTED_VALUE"""),"Турский Сергей")</f>
        <v>Турский Сергей</v>
      </c>
      <c r="H113" s="8"/>
    </row>
    <row r="114">
      <c r="A114" s="7">
        <f>IFERROR(__xludf.DUMMYFUNCTION("""COMPUTED_VALUE"""),120.0)</f>
        <v>120</v>
      </c>
      <c r="B114" s="8" t="str">
        <f>IFERROR(__xludf.DUMMYFUNCTION("""COMPUTED_VALUE"""),"Барбудос")</f>
        <v>Барбудос</v>
      </c>
      <c r="C114" s="8">
        <f>IFERROR(__xludf.DUMMYFUNCTION("""COMPUTED_VALUE"""),30.0)</f>
        <v>30</v>
      </c>
      <c r="D114" s="8" t="str">
        <f>IFERROR(__xludf.DUMMYFUNCTION("""COMPUTED_VALUE"""),"Дневной")</f>
        <v>Дневной</v>
      </c>
      <c r="E114" s="8" t="str">
        <f>IFERROR(__xludf.DUMMYFUNCTION("""COMPUTED_VALUE"""),"Николай Романов")</f>
        <v>Николай Романов</v>
      </c>
      <c r="F114" s="8"/>
      <c r="G114" s="8"/>
      <c r="H114" s="8"/>
    </row>
    <row r="115">
      <c r="A115" s="7">
        <f>IFERROR(__xludf.DUMMYFUNCTION("""COMPUTED_VALUE"""),121.0)</f>
        <v>121</v>
      </c>
      <c r="B115" s="8" t="str">
        <f>IFERROR(__xludf.DUMMYFUNCTION("""COMPUTED_VALUE"""),"Задеба ")</f>
        <v>Задеба </v>
      </c>
      <c r="C115" s="8">
        <f>IFERROR(__xludf.DUMMYFUNCTION("""COMPUTED_VALUE"""),30.0)</f>
        <v>30</v>
      </c>
      <c r="D115" s="8" t="str">
        <f>IFERROR(__xludf.DUMMYFUNCTION("""COMPUTED_VALUE"""),"Дневной")</f>
        <v>Дневной</v>
      </c>
      <c r="E115" s="8" t="str">
        <f>IFERROR(__xludf.DUMMYFUNCTION("""COMPUTED_VALUE"""),"Егор Задеба")</f>
        <v>Егор Задеба</v>
      </c>
      <c r="F115" s="8"/>
      <c r="G115" s="8"/>
      <c r="H115" s="8">
        <f>IFERROR(__xludf.DUMMYFUNCTION("""COMPUTED_VALUE"""),0.0)</f>
        <v>0</v>
      </c>
    </row>
    <row r="116">
      <c r="A116" s="7"/>
      <c r="B116" s="8"/>
      <c r="C116" s="8"/>
      <c r="D116" s="8"/>
      <c r="E116" s="8"/>
      <c r="F116" s="8"/>
      <c r="G116" s="8"/>
      <c r="H116" s="8"/>
    </row>
    <row r="117">
      <c r="A117" s="7"/>
      <c r="B117" s="8"/>
      <c r="C117" s="8"/>
      <c r="D117" s="8"/>
      <c r="E117" s="8"/>
      <c r="F117" s="8"/>
      <c r="G117" s="8"/>
      <c r="H117" s="8"/>
    </row>
    <row r="118">
      <c r="A118" s="7"/>
      <c r="B118" s="8"/>
      <c r="C118" s="8"/>
      <c r="D118" s="8"/>
      <c r="E118" s="8"/>
      <c r="F118" s="8"/>
      <c r="G118" s="8"/>
      <c r="H118" s="8"/>
    </row>
    <row r="119">
      <c r="A119" s="9"/>
      <c r="B119" s="10"/>
      <c r="C119" s="10"/>
      <c r="D119" s="10"/>
      <c r="E119" s="10"/>
      <c r="F119" s="10"/>
      <c r="G119" s="10"/>
      <c r="H119" s="10"/>
    </row>
    <row r="120">
      <c r="A120" s="9"/>
      <c r="B120" s="10"/>
      <c r="C120" s="10"/>
      <c r="D120" s="10"/>
      <c r="E120" s="10"/>
      <c r="F120" s="10"/>
      <c r="G120" s="10"/>
      <c r="H120" s="10"/>
    </row>
    <row r="121">
      <c r="A121" s="9"/>
      <c r="B121" s="10"/>
      <c r="C121" s="10"/>
      <c r="D121" s="10"/>
      <c r="E121" s="10"/>
      <c r="F121" s="10"/>
      <c r="G121" s="10"/>
      <c r="H121" s="10"/>
    </row>
    <row r="122">
      <c r="A122" s="9"/>
      <c r="B122" s="10"/>
      <c r="C122" s="10"/>
      <c r="D122" s="10"/>
      <c r="E122" s="10"/>
      <c r="F122" s="10"/>
      <c r="G122" s="10"/>
      <c r="H122" s="10"/>
    </row>
    <row r="123">
      <c r="A123" s="9"/>
      <c r="B123" s="10"/>
      <c r="C123" s="10"/>
      <c r="D123" s="10"/>
      <c r="E123" s="10"/>
      <c r="F123" s="10"/>
      <c r="G123" s="10"/>
      <c r="H123" s="10"/>
    </row>
    <row r="124">
      <c r="A124" s="9"/>
    </row>
    <row r="125">
      <c r="A125" s="9"/>
    </row>
    <row r="126">
      <c r="A126" s="9"/>
    </row>
    <row r="127">
      <c r="A127" s="9"/>
    </row>
    <row r="128">
      <c r="A128" s="9"/>
    </row>
    <row r="129">
      <c r="A129" s="9"/>
    </row>
    <row r="130">
      <c r="A130" s="9"/>
    </row>
    <row r="131">
      <c r="A131" s="9"/>
    </row>
    <row r="132">
      <c r="A132" s="9"/>
    </row>
    <row r="133">
      <c r="A133" s="9"/>
    </row>
    <row r="134">
      <c r="A134" s="9"/>
    </row>
    <row r="135">
      <c r="A135" s="9"/>
    </row>
    <row r="136">
      <c r="A136" s="9"/>
    </row>
    <row r="137">
      <c r="A137" s="9"/>
    </row>
    <row r="138">
      <c r="A138" s="9"/>
    </row>
    <row r="139">
      <c r="A139" s="9"/>
    </row>
    <row r="140">
      <c r="A140" s="9"/>
    </row>
    <row r="141">
      <c r="A141" s="9"/>
    </row>
    <row r="142">
      <c r="A142" s="9"/>
    </row>
    <row r="143">
      <c r="A143" s="9"/>
    </row>
    <row r="144">
      <c r="A144" s="9"/>
    </row>
    <row r="145">
      <c r="A145" s="9"/>
    </row>
    <row r="146">
      <c r="A146" s="9"/>
    </row>
    <row r="147">
      <c r="A147" s="9"/>
    </row>
    <row r="148">
      <c r="A148" s="9"/>
    </row>
    <row r="149">
      <c r="A149" s="9"/>
    </row>
    <row r="150">
      <c r="A150" s="9"/>
    </row>
    <row r="151">
      <c r="A151" s="9"/>
    </row>
    <row r="152">
      <c r="A152" s="9"/>
    </row>
    <row r="153">
      <c r="A153" s="9"/>
    </row>
    <row r="154">
      <c r="A154" s="9"/>
    </row>
    <row r="155">
      <c r="A155" s="9"/>
    </row>
    <row r="156">
      <c r="A156" s="9"/>
    </row>
    <row r="157">
      <c r="A157" s="9"/>
    </row>
    <row r="158">
      <c r="A158" s="9"/>
    </row>
    <row r="159">
      <c r="A159" s="9"/>
    </row>
    <row r="160">
      <c r="A160" s="9"/>
    </row>
    <row r="161">
      <c r="A161" s="9"/>
    </row>
    <row r="162">
      <c r="A162" s="9"/>
    </row>
    <row r="163">
      <c r="A163" s="9"/>
    </row>
    <row r="164">
      <c r="A164" s="9"/>
    </row>
    <row r="165">
      <c r="A165" s="9"/>
    </row>
    <row r="166">
      <c r="A166" s="9"/>
    </row>
    <row r="167">
      <c r="A167" s="9"/>
    </row>
    <row r="168">
      <c r="A168" s="9"/>
    </row>
    <row r="169">
      <c r="A169" s="9"/>
    </row>
    <row r="170">
      <c r="A170" s="9"/>
    </row>
    <row r="171">
      <c r="A171" s="9"/>
    </row>
    <row r="172">
      <c r="A172" s="9"/>
    </row>
    <row r="173">
      <c r="A173" s="9"/>
    </row>
    <row r="174">
      <c r="A174" s="9"/>
    </row>
    <row r="175">
      <c r="A175" s="9"/>
    </row>
    <row r="176">
      <c r="A176" s="9"/>
    </row>
    <row r="177">
      <c r="A177" s="9"/>
    </row>
    <row r="178">
      <c r="A178" s="9"/>
    </row>
    <row r="179">
      <c r="A179" s="9"/>
    </row>
    <row r="180">
      <c r="A180" s="9"/>
    </row>
    <row r="181">
      <c r="A181" s="9"/>
    </row>
    <row r="182">
      <c r="A182" s="9"/>
    </row>
    <row r="183">
      <c r="A183" s="9"/>
    </row>
    <row r="184">
      <c r="A184" s="9"/>
    </row>
    <row r="185">
      <c r="A185" s="9"/>
    </row>
    <row r="186">
      <c r="A186" s="9"/>
    </row>
    <row r="187">
      <c r="A187" s="9"/>
    </row>
    <row r="188">
      <c r="A188" s="9"/>
    </row>
    <row r="189">
      <c r="A189" s="9"/>
    </row>
    <row r="190">
      <c r="A190" s="9"/>
    </row>
    <row r="191">
      <c r="A191" s="9"/>
    </row>
    <row r="192">
      <c r="A192" s="9"/>
    </row>
    <row r="193">
      <c r="A193" s="9"/>
    </row>
    <row r="194">
      <c r="A194" s="9"/>
    </row>
    <row r="195">
      <c r="A195" s="9"/>
    </row>
    <row r="196">
      <c r="A196" s="9"/>
    </row>
    <row r="197">
      <c r="A197" s="9"/>
    </row>
    <row r="198">
      <c r="A198" s="9"/>
    </row>
    <row r="199">
      <c r="A199" s="9"/>
    </row>
    <row r="200">
      <c r="A200" s="9"/>
    </row>
    <row r="201">
      <c r="A201" s="9"/>
    </row>
    <row r="202">
      <c r="A202" s="9"/>
    </row>
    <row r="203">
      <c r="A203" s="9"/>
    </row>
    <row r="204">
      <c r="A204" s="9"/>
    </row>
    <row r="205">
      <c r="A205" s="9"/>
    </row>
    <row r="206">
      <c r="A206" s="9"/>
    </row>
    <row r="207">
      <c r="A207" s="9"/>
    </row>
    <row r="208">
      <c r="A208" s="9"/>
    </row>
    <row r="209">
      <c r="A209" s="9"/>
    </row>
    <row r="210">
      <c r="A210" s="9"/>
    </row>
    <row r="211">
      <c r="A211" s="9"/>
    </row>
    <row r="212">
      <c r="A212" s="9"/>
    </row>
    <row r="213">
      <c r="A213" s="9"/>
    </row>
    <row r="214">
      <c r="A214" s="9"/>
    </row>
    <row r="215">
      <c r="A215" s="9"/>
    </row>
    <row r="216">
      <c r="A216" s="9"/>
    </row>
    <row r="217">
      <c r="A217" s="9"/>
    </row>
    <row r="218">
      <c r="A218" s="9"/>
    </row>
    <row r="219">
      <c r="A219" s="9"/>
    </row>
    <row r="220">
      <c r="A220" s="9"/>
    </row>
    <row r="221">
      <c r="A221" s="9"/>
    </row>
    <row r="222">
      <c r="A222" s="9"/>
    </row>
    <row r="223">
      <c r="A223" s="9"/>
    </row>
    <row r="224">
      <c r="A224" s="9"/>
    </row>
    <row r="225">
      <c r="A225" s="9"/>
    </row>
    <row r="226">
      <c r="A226" s="9"/>
    </row>
    <row r="227">
      <c r="A227" s="9"/>
    </row>
    <row r="228">
      <c r="A228" s="9"/>
    </row>
    <row r="229">
      <c r="A229" s="9"/>
    </row>
    <row r="230">
      <c r="A230" s="9"/>
    </row>
    <row r="231">
      <c r="A231" s="9"/>
    </row>
    <row r="232">
      <c r="A232" s="9"/>
    </row>
    <row r="233">
      <c r="A233" s="9"/>
    </row>
    <row r="234">
      <c r="A234" s="9"/>
    </row>
    <row r="235">
      <c r="A235" s="9"/>
    </row>
    <row r="236">
      <c r="A236" s="9"/>
    </row>
    <row r="237">
      <c r="A237" s="9"/>
    </row>
    <row r="238">
      <c r="A238" s="9"/>
    </row>
    <row r="239">
      <c r="A239" s="9"/>
    </row>
    <row r="240">
      <c r="A240" s="9"/>
    </row>
    <row r="241">
      <c r="A241" s="9"/>
    </row>
    <row r="242">
      <c r="A242" s="9"/>
    </row>
    <row r="243">
      <c r="A243" s="9"/>
    </row>
    <row r="244">
      <c r="A244" s="9"/>
    </row>
    <row r="245">
      <c r="A245" s="9"/>
    </row>
    <row r="246">
      <c r="A246" s="9"/>
    </row>
    <row r="247">
      <c r="A247" s="9"/>
    </row>
    <row r="248">
      <c r="A248" s="9"/>
    </row>
    <row r="249">
      <c r="A249" s="9"/>
    </row>
    <row r="250">
      <c r="A250" s="9"/>
    </row>
    <row r="251">
      <c r="A251" s="9"/>
    </row>
    <row r="252">
      <c r="A252" s="9"/>
    </row>
    <row r="253">
      <c r="A253" s="9"/>
    </row>
    <row r="254">
      <c r="A254" s="9"/>
    </row>
    <row r="255">
      <c r="A255" s="9"/>
    </row>
    <row r="256">
      <c r="A256" s="9"/>
    </row>
    <row r="257">
      <c r="A257" s="9"/>
    </row>
    <row r="258">
      <c r="A258" s="9"/>
    </row>
    <row r="259">
      <c r="A259" s="9"/>
    </row>
    <row r="260">
      <c r="A260" s="9"/>
    </row>
    <row r="261">
      <c r="A261" s="9"/>
    </row>
    <row r="262">
      <c r="A262" s="9"/>
    </row>
    <row r="263">
      <c r="A263" s="9"/>
    </row>
    <row r="264">
      <c r="A264" s="9"/>
    </row>
    <row r="265">
      <c r="A265" s="9"/>
    </row>
    <row r="266">
      <c r="A266" s="9"/>
    </row>
    <row r="267">
      <c r="A267" s="9"/>
    </row>
    <row r="268">
      <c r="A268" s="9"/>
    </row>
    <row r="269">
      <c r="A269" s="9"/>
    </row>
    <row r="270">
      <c r="A270" s="9"/>
    </row>
    <row r="271">
      <c r="A271" s="9"/>
    </row>
    <row r="272">
      <c r="A272" s="9"/>
    </row>
    <row r="273">
      <c r="A273" s="9"/>
    </row>
    <row r="274">
      <c r="A274" s="9"/>
    </row>
    <row r="275">
      <c r="A275" s="9"/>
    </row>
    <row r="276">
      <c r="A276" s="9"/>
    </row>
    <row r="277">
      <c r="A277" s="9"/>
    </row>
    <row r="278">
      <c r="A278" s="9"/>
    </row>
    <row r="279">
      <c r="A279" s="9"/>
    </row>
    <row r="280">
      <c r="A280" s="9"/>
    </row>
    <row r="281">
      <c r="A281" s="9"/>
    </row>
    <row r="282">
      <c r="A282" s="9"/>
    </row>
    <row r="283">
      <c r="A283" s="9"/>
    </row>
    <row r="284">
      <c r="A284" s="9"/>
    </row>
    <row r="285">
      <c r="A285" s="9"/>
    </row>
    <row r="286">
      <c r="A286" s="9"/>
    </row>
    <row r="287">
      <c r="A287" s="9"/>
    </row>
    <row r="288">
      <c r="A288" s="9"/>
    </row>
    <row r="289">
      <c r="A289" s="9"/>
    </row>
    <row r="290">
      <c r="A290" s="9"/>
    </row>
    <row r="291">
      <c r="A291" s="9"/>
    </row>
    <row r="292">
      <c r="A292" s="9"/>
    </row>
    <row r="293">
      <c r="A293" s="9"/>
    </row>
    <row r="294">
      <c r="A294" s="9"/>
    </row>
    <row r="295">
      <c r="A295" s="9"/>
    </row>
    <row r="296">
      <c r="A296" s="9"/>
    </row>
    <row r="297">
      <c r="A297" s="9"/>
    </row>
    <row r="298">
      <c r="A298" s="9"/>
    </row>
    <row r="299">
      <c r="A299" s="9"/>
    </row>
    <row r="300">
      <c r="A300" s="9"/>
    </row>
    <row r="301">
      <c r="A301" s="9"/>
    </row>
    <row r="302">
      <c r="A302" s="9"/>
    </row>
    <row r="303">
      <c r="A303" s="9"/>
    </row>
    <row r="304">
      <c r="A304" s="9"/>
    </row>
    <row r="305">
      <c r="A305" s="9"/>
    </row>
    <row r="306">
      <c r="A306" s="9"/>
    </row>
    <row r="307">
      <c r="A307" s="9"/>
    </row>
    <row r="308">
      <c r="A308" s="9"/>
    </row>
    <row r="309">
      <c r="A309" s="9"/>
    </row>
    <row r="310">
      <c r="A310" s="9"/>
    </row>
    <row r="311">
      <c r="A311" s="9"/>
    </row>
    <row r="312">
      <c r="A312" s="9"/>
    </row>
    <row r="313">
      <c r="A313" s="9"/>
    </row>
    <row r="314">
      <c r="A314" s="9"/>
    </row>
    <row r="315">
      <c r="A315" s="9"/>
    </row>
    <row r="316">
      <c r="A316" s="9"/>
    </row>
    <row r="317">
      <c r="A317" s="9"/>
    </row>
    <row r="318">
      <c r="A318" s="9"/>
    </row>
    <row r="319">
      <c r="A319" s="9"/>
    </row>
    <row r="320">
      <c r="A320" s="9"/>
    </row>
    <row r="321">
      <c r="A321" s="9"/>
    </row>
    <row r="322">
      <c r="A322" s="9"/>
    </row>
    <row r="323">
      <c r="A323" s="9"/>
    </row>
    <row r="324">
      <c r="A324" s="9"/>
    </row>
    <row r="325">
      <c r="A325" s="9"/>
    </row>
    <row r="326">
      <c r="A326" s="9"/>
    </row>
    <row r="327">
      <c r="A327" s="9"/>
    </row>
    <row r="328">
      <c r="A328" s="9"/>
    </row>
    <row r="329">
      <c r="A329" s="9"/>
    </row>
    <row r="330">
      <c r="A330" s="9"/>
    </row>
    <row r="331">
      <c r="A331" s="9"/>
    </row>
    <row r="332">
      <c r="A332" s="9"/>
    </row>
    <row r="333">
      <c r="A333" s="9"/>
    </row>
    <row r="334">
      <c r="A334" s="9"/>
    </row>
    <row r="335">
      <c r="A335" s="9"/>
    </row>
    <row r="336">
      <c r="A336" s="9"/>
    </row>
    <row r="337">
      <c r="A337" s="9"/>
    </row>
    <row r="338">
      <c r="A338" s="9"/>
    </row>
    <row r="339">
      <c r="A339" s="9"/>
    </row>
    <row r="340">
      <c r="A340" s="9"/>
    </row>
    <row r="341">
      <c r="A341" s="9"/>
    </row>
    <row r="342">
      <c r="A342" s="9"/>
    </row>
    <row r="343">
      <c r="A343" s="9"/>
    </row>
    <row r="344">
      <c r="A344" s="9"/>
    </row>
    <row r="345">
      <c r="A345" s="9"/>
    </row>
    <row r="346">
      <c r="A346" s="9"/>
    </row>
    <row r="347">
      <c r="A347" s="9"/>
    </row>
    <row r="348">
      <c r="A348" s="9"/>
    </row>
    <row r="349">
      <c r="A349" s="9"/>
    </row>
    <row r="350">
      <c r="A350" s="9"/>
    </row>
    <row r="351">
      <c r="A351" s="9"/>
    </row>
    <row r="352">
      <c r="A352" s="9"/>
    </row>
    <row r="353">
      <c r="A353" s="9"/>
    </row>
    <row r="354">
      <c r="A354" s="9"/>
    </row>
    <row r="355">
      <c r="A355" s="9"/>
    </row>
    <row r="356">
      <c r="A356" s="9"/>
    </row>
    <row r="357">
      <c r="A357" s="9"/>
    </row>
    <row r="358">
      <c r="A358" s="9"/>
    </row>
    <row r="359">
      <c r="A359" s="9"/>
    </row>
    <row r="360">
      <c r="A360" s="9"/>
    </row>
    <row r="361">
      <c r="A361" s="9"/>
    </row>
    <row r="362">
      <c r="A362" s="9"/>
    </row>
    <row r="363">
      <c r="A363" s="9"/>
    </row>
    <row r="364">
      <c r="A364" s="9"/>
    </row>
    <row r="365">
      <c r="A365" s="9"/>
    </row>
    <row r="366">
      <c r="A366" s="9"/>
    </row>
    <row r="367">
      <c r="A367" s="9"/>
    </row>
    <row r="368">
      <c r="A368" s="9"/>
    </row>
    <row r="369">
      <c r="A369" s="9"/>
    </row>
    <row r="370">
      <c r="A370" s="9"/>
    </row>
    <row r="371">
      <c r="A371" s="9"/>
    </row>
    <row r="372">
      <c r="A372" s="9"/>
    </row>
    <row r="373">
      <c r="A373" s="9"/>
    </row>
    <row r="374">
      <c r="A374" s="9"/>
    </row>
    <row r="375">
      <c r="A375" s="9"/>
    </row>
    <row r="376">
      <c r="A376" s="9"/>
    </row>
    <row r="377">
      <c r="A377" s="9"/>
    </row>
    <row r="378">
      <c r="A378" s="9"/>
    </row>
    <row r="379">
      <c r="A379" s="9"/>
    </row>
    <row r="380">
      <c r="A380" s="9"/>
    </row>
    <row r="381">
      <c r="A381" s="9"/>
    </row>
    <row r="382">
      <c r="A382" s="9"/>
    </row>
    <row r="383">
      <c r="A383" s="9"/>
    </row>
    <row r="384">
      <c r="A384" s="9"/>
    </row>
    <row r="385">
      <c r="A385" s="9"/>
    </row>
    <row r="386">
      <c r="A386" s="9"/>
    </row>
    <row r="387">
      <c r="A387" s="9"/>
    </row>
    <row r="388">
      <c r="A388" s="9"/>
    </row>
    <row r="389">
      <c r="A389" s="9"/>
    </row>
    <row r="390">
      <c r="A390" s="9"/>
    </row>
    <row r="391">
      <c r="A391" s="9"/>
    </row>
    <row r="392">
      <c r="A392" s="9"/>
    </row>
    <row r="393">
      <c r="A393" s="9"/>
    </row>
    <row r="394">
      <c r="A394" s="9"/>
    </row>
    <row r="395">
      <c r="A395" s="9"/>
    </row>
    <row r="396">
      <c r="A396" s="9"/>
    </row>
    <row r="397">
      <c r="A397" s="9"/>
    </row>
    <row r="398">
      <c r="A398" s="9"/>
    </row>
    <row r="399">
      <c r="A399" s="9"/>
    </row>
    <row r="400">
      <c r="A400" s="9"/>
    </row>
    <row r="401">
      <c r="A401" s="9"/>
    </row>
    <row r="402">
      <c r="A402" s="9"/>
    </row>
    <row r="403">
      <c r="A403" s="9"/>
    </row>
    <row r="404">
      <c r="A404" s="9"/>
    </row>
    <row r="405">
      <c r="A405" s="9"/>
    </row>
    <row r="406">
      <c r="A406" s="9"/>
    </row>
    <row r="407">
      <c r="A407" s="9"/>
    </row>
    <row r="408">
      <c r="A408" s="9"/>
    </row>
    <row r="409">
      <c r="A409" s="9"/>
    </row>
    <row r="410">
      <c r="A410" s="9"/>
    </row>
    <row r="411">
      <c r="A411" s="9"/>
    </row>
    <row r="412">
      <c r="A412" s="9"/>
    </row>
    <row r="413">
      <c r="A413" s="9"/>
    </row>
    <row r="414">
      <c r="A414" s="9"/>
    </row>
    <row r="415">
      <c r="A415" s="9"/>
    </row>
    <row r="416">
      <c r="A416" s="9"/>
    </row>
    <row r="417">
      <c r="A417" s="9"/>
    </row>
    <row r="418">
      <c r="A418" s="9"/>
    </row>
    <row r="419">
      <c r="A419" s="9"/>
    </row>
    <row r="420">
      <c r="A420" s="9"/>
    </row>
    <row r="421">
      <c r="A421" s="9"/>
    </row>
    <row r="422">
      <c r="A422" s="9"/>
    </row>
    <row r="423">
      <c r="A423" s="9"/>
    </row>
    <row r="424">
      <c r="A424" s="9"/>
    </row>
    <row r="425">
      <c r="A425" s="9"/>
    </row>
    <row r="426">
      <c r="A426" s="9"/>
    </row>
    <row r="427">
      <c r="A427" s="9"/>
    </row>
    <row r="428">
      <c r="A428" s="9"/>
    </row>
    <row r="429">
      <c r="A429" s="9"/>
    </row>
    <row r="430">
      <c r="A430" s="9"/>
    </row>
    <row r="431">
      <c r="A431" s="9"/>
    </row>
    <row r="432">
      <c r="A432" s="9"/>
    </row>
    <row r="433">
      <c r="A433" s="9"/>
    </row>
    <row r="434">
      <c r="A434" s="9"/>
    </row>
    <row r="435">
      <c r="A435" s="9"/>
    </row>
    <row r="436">
      <c r="A436" s="9"/>
    </row>
    <row r="437">
      <c r="A437" s="9"/>
    </row>
    <row r="438">
      <c r="A438" s="9"/>
    </row>
    <row r="439">
      <c r="A439" s="9"/>
    </row>
    <row r="440">
      <c r="A440" s="9"/>
    </row>
    <row r="441">
      <c r="A441" s="9"/>
    </row>
    <row r="442">
      <c r="A442" s="9"/>
    </row>
    <row r="443">
      <c r="A443" s="9"/>
    </row>
    <row r="444">
      <c r="A444" s="9"/>
    </row>
    <row r="445">
      <c r="A445" s="9"/>
    </row>
    <row r="446">
      <c r="A446" s="9"/>
    </row>
    <row r="447">
      <c r="A447" s="9"/>
    </row>
    <row r="448">
      <c r="A448" s="9"/>
    </row>
    <row r="449">
      <c r="A449" s="9"/>
    </row>
    <row r="450">
      <c r="A450" s="9"/>
    </row>
    <row r="451">
      <c r="A451" s="9"/>
    </row>
    <row r="452">
      <c r="A452" s="9"/>
    </row>
    <row r="453">
      <c r="A453" s="9"/>
    </row>
    <row r="454">
      <c r="A454" s="9"/>
    </row>
    <row r="455">
      <c r="A455" s="9"/>
    </row>
    <row r="456">
      <c r="A456" s="9"/>
    </row>
    <row r="457">
      <c r="A457" s="9"/>
    </row>
    <row r="458">
      <c r="A458" s="9"/>
    </row>
    <row r="459">
      <c r="A459" s="9"/>
    </row>
    <row r="460">
      <c r="A460" s="9"/>
    </row>
    <row r="461">
      <c r="A461" s="9"/>
    </row>
    <row r="462">
      <c r="A462" s="9"/>
    </row>
    <row r="463">
      <c r="A463" s="9"/>
    </row>
    <row r="464">
      <c r="A464" s="9"/>
    </row>
    <row r="465">
      <c r="A465" s="9"/>
    </row>
    <row r="466">
      <c r="A466" s="9"/>
    </row>
    <row r="467">
      <c r="A467" s="9"/>
    </row>
    <row r="468">
      <c r="A468" s="9"/>
    </row>
    <row r="469">
      <c r="A469" s="9"/>
    </row>
    <row r="470">
      <c r="A470" s="9"/>
    </row>
    <row r="471">
      <c r="A471" s="9"/>
    </row>
    <row r="472">
      <c r="A472" s="9"/>
    </row>
    <row r="473">
      <c r="A473" s="9"/>
    </row>
    <row r="474">
      <c r="A474" s="9"/>
    </row>
    <row r="475">
      <c r="A475" s="9"/>
    </row>
    <row r="476">
      <c r="A476" s="9"/>
    </row>
    <row r="477">
      <c r="A477" s="9"/>
    </row>
    <row r="478">
      <c r="A478" s="9"/>
    </row>
    <row r="479">
      <c r="A479" s="9"/>
    </row>
    <row r="480">
      <c r="A480" s="9"/>
    </row>
    <row r="481">
      <c r="A481" s="9"/>
    </row>
    <row r="482">
      <c r="A482" s="9"/>
    </row>
    <row r="483">
      <c r="A483" s="9"/>
    </row>
    <row r="484">
      <c r="A484" s="9"/>
    </row>
    <row r="485">
      <c r="A485" s="9"/>
    </row>
    <row r="486">
      <c r="A486" s="9"/>
    </row>
    <row r="487">
      <c r="A487" s="9"/>
    </row>
    <row r="488">
      <c r="A488" s="9"/>
    </row>
    <row r="489">
      <c r="A489" s="9"/>
    </row>
    <row r="490">
      <c r="A490" s="9"/>
    </row>
    <row r="491">
      <c r="A491" s="9"/>
    </row>
    <row r="492">
      <c r="A492" s="9"/>
    </row>
    <row r="493">
      <c r="A493" s="9"/>
    </row>
    <row r="494">
      <c r="A494" s="9"/>
    </row>
    <row r="495">
      <c r="A495" s="9"/>
    </row>
    <row r="496">
      <c r="A496" s="9"/>
    </row>
    <row r="497">
      <c r="A497" s="9"/>
    </row>
    <row r="498">
      <c r="A498" s="9"/>
    </row>
    <row r="499">
      <c r="A499" s="9"/>
    </row>
    <row r="500">
      <c r="A500" s="9"/>
    </row>
    <row r="501">
      <c r="A501" s="9"/>
    </row>
    <row r="502">
      <c r="A502" s="9"/>
    </row>
    <row r="503">
      <c r="A503" s="9"/>
    </row>
    <row r="504">
      <c r="A504" s="9"/>
    </row>
    <row r="505">
      <c r="A505" s="9"/>
    </row>
    <row r="506">
      <c r="A506" s="9"/>
    </row>
    <row r="507">
      <c r="A507" s="9"/>
    </row>
    <row r="508">
      <c r="A508" s="9"/>
    </row>
    <row r="509">
      <c r="A509" s="9"/>
    </row>
    <row r="510">
      <c r="A510" s="9"/>
    </row>
    <row r="511">
      <c r="A511" s="9"/>
    </row>
    <row r="512">
      <c r="A512" s="9"/>
    </row>
    <row r="513">
      <c r="A513" s="9"/>
    </row>
    <row r="514">
      <c r="A514" s="9"/>
    </row>
    <row r="515">
      <c r="A515" s="9"/>
    </row>
    <row r="516">
      <c r="A516" s="9"/>
    </row>
    <row r="517">
      <c r="A517" s="9"/>
    </row>
    <row r="518">
      <c r="A518" s="9"/>
    </row>
    <row r="519">
      <c r="A519" s="9"/>
    </row>
    <row r="520">
      <c r="A520" s="9"/>
    </row>
    <row r="521">
      <c r="A521" s="9"/>
    </row>
    <row r="522">
      <c r="A522" s="9"/>
    </row>
    <row r="523">
      <c r="A523" s="9"/>
    </row>
    <row r="524">
      <c r="A524" s="9"/>
    </row>
    <row r="525">
      <c r="A525" s="9"/>
    </row>
    <row r="526">
      <c r="A526" s="9"/>
    </row>
    <row r="527">
      <c r="A527" s="9"/>
    </row>
    <row r="528">
      <c r="A528" s="9"/>
    </row>
    <row r="529">
      <c r="A529" s="9"/>
    </row>
    <row r="530">
      <c r="A530" s="9"/>
    </row>
    <row r="531">
      <c r="A531" s="9"/>
    </row>
    <row r="532">
      <c r="A532" s="9"/>
    </row>
    <row r="533">
      <c r="A533" s="9"/>
    </row>
    <row r="534">
      <c r="A534" s="9"/>
    </row>
    <row r="535">
      <c r="A535" s="9"/>
    </row>
    <row r="536">
      <c r="A536" s="9"/>
    </row>
    <row r="537">
      <c r="A537" s="9"/>
    </row>
    <row r="538">
      <c r="A538" s="9"/>
    </row>
    <row r="539">
      <c r="A539" s="9"/>
    </row>
    <row r="540">
      <c r="A540" s="9"/>
    </row>
    <row r="541">
      <c r="A541" s="9"/>
    </row>
    <row r="542">
      <c r="A542" s="9"/>
    </row>
    <row r="543">
      <c r="A543" s="9"/>
    </row>
    <row r="544">
      <c r="A544" s="9"/>
    </row>
    <row r="545">
      <c r="A545" s="9"/>
    </row>
    <row r="546">
      <c r="A546" s="9"/>
    </row>
    <row r="547">
      <c r="A547" s="9"/>
    </row>
    <row r="548">
      <c r="A548" s="9"/>
    </row>
    <row r="549">
      <c r="A549" s="9"/>
    </row>
    <row r="550">
      <c r="A550" s="9"/>
    </row>
    <row r="551">
      <c r="A551" s="9"/>
    </row>
    <row r="552">
      <c r="A552" s="9"/>
    </row>
    <row r="553">
      <c r="A553" s="9"/>
    </row>
    <row r="554">
      <c r="A554" s="9"/>
    </row>
    <row r="555">
      <c r="A555" s="9"/>
    </row>
    <row r="556">
      <c r="A556" s="9"/>
    </row>
    <row r="557">
      <c r="A557" s="9"/>
    </row>
    <row r="558">
      <c r="A558" s="9"/>
    </row>
    <row r="559">
      <c r="A559" s="9"/>
    </row>
    <row r="560">
      <c r="A560" s="9"/>
    </row>
    <row r="561">
      <c r="A561" s="9"/>
    </row>
    <row r="562">
      <c r="A562" s="9"/>
    </row>
    <row r="563">
      <c r="A563" s="9"/>
    </row>
    <row r="564">
      <c r="A564" s="9"/>
    </row>
    <row r="565">
      <c r="A565" s="9"/>
    </row>
    <row r="566">
      <c r="A566" s="9"/>
    </row>
    <row r="567">
      <c r="A567" s="9"/>
    </row>
    <row r="568">
      <c r="A568" s="9"/>
    </row>
    <row r="569">
      <c r="A569" s="9"/>
    </row>
    <row r="570">
      <c r="A570" s="9"/>
    </row>
    <row r="571">
      <c r="A571" s="9"/>
    </row>
    <row r="572">
      <c r="A572" s="9"/>
    </row>
    <row r="573">
      <c r="A573" s="9"/>
    </row>
    <row r="574">
      <c r="A574" s="9"/>
    </row>
    <row r="575">
      <c r="A575" s="9"/>
    </row>
    <row r="576">
      <c r="A576" s="9"/>
    </row>
    <row r="577">
      <c r="A577" s="9"/>
    </row>
    <row r="578">
      <c r="A578" s="9"/>
    </row>
    <row r="579">
      <c r="A579" s="9"/>
    </row>
    <row r="580">
      <c r="A580" s="9"/>
    </row>
    <row r="581">
      <c r="A581" s="9"/>
    </row>
    <row r="582">
      <c r="A582" s="9"/>
    </row>
    <row r="583">
      <c r="A583" s="9"/>
    </row>
    <row r="584">
      <c r="A584" s="9"/>
    </row>
    <row r="585">
      <c r="A585" s="9"/>
    </row>
    <row r="586">
      <c r="A586" s="9"/>
    </row>
    <row r="587">
      <c r="A587" s="9"/>
    </row>
    <row r="588">
      <c r="A588" s="9"/>
    </row>
    <row r="589">
      <c r="A589" s="9"/>
    </row>
    <row r="590">
      <c r="A590" s="9"/>
    </row>
    <row r="591">
      <c r="A591" s="9"/>
    </row>
    <row r="592">
      <c r="A592" s="9"/>
    </row>
    <row r="593">
      <c r="A593" s="9"/>
    </row>
    <row r="594">
      <c r="A594" s="9"/>
    </row>
    <row r="595">
      <c r="A595" s="9"/>
    </row>
    <row r="596">
      <c r="A596" s="9"/>
    </row>
    <row r="597">
      <c r="A597" s="9"/>
    </row>
    <row r="598">
      <c r="A598" s="9"/>
    </row>
    <row r="599">
      <c r="A599" s="9"/>
    </row>
    <row r="600">
      <c r="A600" s="9"/>
    </row>
    <row r="601">
      <c r="A601" s="9"/>
    </row>
    <row r="602">
      <c r="A602" s="9"/>
    </row>
    <row r="603">
      <c r="A603" s="9"/>
    </row>
    <row r="604">
      <c r="A604" s="9"/>
    </row>
    <row r="605">
      <c r="A605" s="9"/>
    </row>
    <row r="606">
      <c r="A606" s="9"/>
    </row>
    <row r="607">
      <c r="A607" s="9"/>
    </row>
    <row r="608">
      <c r="A608" s="9"/>
    </row>
    <row r="609">
      <c r="A609" s="9"/>
    </row>
    <row r="610">
      <c r="A610" s="9"/>
    </row>
    <row r="611">
      <c r="A611" s="9"/>
    </row>
    <row r="612">
      <c r="A612" s="9"/>
    </row>
    <row r="613">
      <c r="A613" s="9"/>
    </row>
    <row r="614">
      <c r="A614" s="9"/>
    </row>
    <row r="615">
      <c r="A615" s="9"/>
    </row>
    <row r="616">
      <c r="A616" s="9"/>
    </row>
    <row r="617">
      <c r="A617" s="9"/>
    </row>
    <row r="618">
      <c r="A618" s="9"/>
    </row>
    <row r="619">
      <c r="A619" s="9"/>
    </row>
    <row r="620">
      <c r="A620" s="9"/>
    </row>
    <row r="621">
      <c r="A621" s="9"/>
    </row>
    <row r="622">
      <c r="A622" s="9"/>
    </row>
    <row r="623">
      <c r="A623" s="9"/>
    </row>
    <row r="624">
      <c r="A624" s="9"/>
    </row>
    <row r="625">
      <c r="A625" s="9"/>
    </row>
    <row r="626">
      <c r="A626" s="9"/>
    </row>
    <row r="627">
      <c r="A627" s="9"/>
    </row>
    <row r="628">
      <c r="A628" s="9"/>
    </row>
    <row r="629">
      <c r="A629" s="9"/>
    </row>
    <row r="630">
      <c r="A630" s="9"/>
    </row>
    <row r="631">
      <c r="A631" s="9"/>
    </row>
    <row r="632">
      <c r="A632" s="9"/>
    </row>
    <row r="633">
      <c r="A633" s="9"/>
    </row>
    <row r="634">
      <c r="A634" s="9"/>
    </row>
    <row r="635">
      <c r="A635" s="9"/>
    </row>
    <row r="636">
      <c r="A636" s="9"/>
    </row>
    <row r="637">
      <c r="A637" s="9"/>
    </row>
    <row r="638">
      <c r="A638" s="9"/>
    </row>
    <row r="639">
      <c r="A639" s="9"/>
    </row>
    <row r="640">
      <c r="A640" s="9"/>
    </row>
    <row r="641">
      <c r="A641" s="9"/>
    </row>
    <row r="642">
      <c r="A642" s="9"/>
    </row>
    <row r="643">
      <c r="A643" s="9"/>
    </row>
    <row r="644">
      <c r="A644" s="9"/>
    </row>
    <row r="645">
      <c r="A645" s="9"/>
    </row>
    <row r="646">
      <c r="A646" s="9"/>
    </row>
    <row r="647">
      <c r="A647" s="9"/>
    </row>
    <row r="648">
      <c r="A648" s="9"/>
    </row>
    <row r="649">
      <c r="A649" s="9"/>
    </row>
    <row r="650">
      <c r="A650" s="9"/>
    </row>
    <row r="651">
      <c r="A651" s="9"/>
    </row>
    <row r="652">
      <c r="A652" s="9"/>
    </row>
    <row r="653">
      <c r="A653" s="9"/>
    </row>
    <row r="654">
      <c r="A654" s="9"/>
    </row>
    <row r="655">
      <c r="A655" s="9"/>
    </row>
    <row r="656">
      <c r="A656" s="9"/>
    </row>
    <row r="657">
      <c r="A657" s="9"/>
    </row>
    <row r="658">
      <c r="A658" s="9"/>
    </row>
    <row r="659">
      <c r="A659" s="9"/>
    </row>
    <row r="660">
      <c r="A660" s="9"/>
    </row>
    <row r="661">
      <c r="A661" s="9"/>
    </row>
    <row r="662">
      <c r="A662" s="9"/>
    </row>
    <row r="663">
      <c r="A663" s="9"/>
    </row>
    <row r="664">
      <c r="A664" s="9"/>
    </row>
    <row r="665">
      <c r="A665" s="9"/>
    </row>
    <row r="666">
      <c r="A666" s="9"/>
    </row>
    <row r="667">
      <c r="A667" s="9"/>
    </row>
    <row r="668">
      <c r="A668" s="9"/>
    </row>
    <row r="669">
      <c r="A669" s="9"/>
    </row>
    <row r="670">
      <c r="A670" s="9"/>
    </row>
    <row r="671">
      <c r="A671" s="9"/>
    </row>
    <row r="672">
      <c r="A672" s="9"/>
    </row>
    <row r="673">
      <c r="A673" s="9"/>
    </row>
    <row r="674">
      <c r="A674" s="9"/>
    </row>
    <row r="675">
      <c r="A675" s="9"/>
    </row>
    <row r="676">
      <c r="A676" s="9"/>
    </row>
    <row r="677">
      <c r="A677" s="9"/>
    </row>
    <row r="678">
      <c r="A678" s="9"/>
    </row>
    <row r="679">
      <c r="A679" s="9"/>
    </row>
    <row r="680">
      <c r="A680" s="9"/>
    </row>
    <row r="681">
      <c r="A681" s="9"/>
    </row>
    <row r="682">
      <c r="A682" s="9"/>
    </row>
    <row r="683">
      <c r="A683" s="9"/>
    </row>
    <row r="684">
      <c r="A684" s="9"/>
    </row>
    <row r="685">
      <c r="A685" s="9"/>
    </row>
    <row r="686">
      <c r="A686" s="9"/>
    </row>
    <row r="687">
      <c r="A687" s="9"/>
    </row>
    <row r="688">
      <c r="A688" s="9"/>
    </row>
    <row r="689">
      <c r="A689" s="9"/>
    </row>
    <row r="690">
      <c r="A690" s="9"/>
    </row>
    <row r="691">
      <c r="A691" s="9"/>
    </row>
    <row r="692">
      <c r="A692" s="9"/>
    </row>
    <row r="693">
      <c r="A693" s="9"/>
    </row>
    <row r="694">
      <c r="A694" s="9"/>
    </row>
    <row r="695">
      <c r="A695" s="9"/>
    </row>
    <row r="696">
      <c r="A696" s="9"/>
    </row>
    <row r="697">
      <c r="A697" s="9"/>
    </row>
    <row r="698">
      <c r="A698" s="9"/>
    </row>
    <row r="699">
      <c r="A699" s="9"/>
    </row>
    <row r="700">
      <c r="A700" s="9"/>
    </row>
    <row r="701">
      <c r="A701" s="9"/>
    </row>
    <row r="702">
      <c r="A702" s="9"/>
    </row>
    <row r="703">
      <c r="A703" s="9"/>
    </row>
    <row r="704">
      <c r="A704" s="9"/>
    </row>
    <row r="705">
      <c r="A705" s="9"/>
    </row>
    <row r="706">
      <c r="A706" s="9"/>
    </row>
    <row r="707">
      <c r="A707" s="9"/>
    </row>
    <row r="708">
      <c r="A708" s="9"/>
    </row>
    <row r="709">
      <c r="A709" s="9"/>
    </row>
    <row r="710">
      <c r="A710" s="9"/>
    </row>
    <row r="711">
      <c r="A711" s="9"/>
    </row>
    <row r="712">
      <c r="A712" s="9"/>
    </row>
    <row r="713">
      <c r="A713" s="9"/>
    </row>
    <row r="714">
      <c r="A714" s="9"/>
    </row>
    <row r="715">
      <c r="A715" s="9"/>
    </row>
    <row r="716">
      <c r="A716" s="9"/>
    </row>
    <row r="717">
      <c r="A717" s="9"/>
    </row>
    <row r="718">
      <c r="A718" s="9"/>
    </row>
    <row r="719">
      <c r="A719" s="9"/>
    </row>
    <row r="720">
      <c r="A720" s="9"/>
    </row>
    <row r="721">
      <c r="A721" s="9"/>
    </row>
    <row r="722">
      <c r="A722" s="9"/>
    </row>
    <row r="723">
      <c r="A723" s="9"/>
    </row>
    <row r="724">
      <c r="A724" s="9"/>
    </row>
    <row r="725">
      <c r="A725" s="9"/>
    </row>
    <row r="726">
      <c r="A726" s="9"/>
    </row>
    <row r="727">
      <c r="A727" s="9"/>
    </row>
    <row r="728">
      <c r="A728" s="9"/>
    </row>
    <row r="729">
      <c r="A729" s="9"/>
    </row>
    <row r="730">
      <c r="A730" s="9"/>
    </row>
    <row r="731">
      <c r="A731" s="9"/>
    </row>
    <row r="732">
      <c r="A732" s="9"/>
    </row>
    <row r="733">
      <c r="A733" s="9"/>
    </row>
    <row r="734">
      <c r="A734" s="9"/>
    </row>
    <row r="735">
      <c r="A735" s="9"/>
    </row>
    <row r="736">
      <c r="A736" s="9"/>
    </row>
    <row r="737">
      <c r="A737" s="9"/>
    </row>
    <row r="738">
      <c r="A738" s="9"/>
    </row>
    <row r="739">
      <c r="A739" s="9"/>
    </row>
    <row r="740">
      <c r="A740" s="9"/>
    </row>
    <row r="741">
      <c r="A741" s="9"/>
    </row>
    <row r="742">
      <c r="A742" s="9"/>
    </row>
    <row r="743">
      <c r="A743" s="9"/>
    </row>
    <row r="744">
      <c r="A744" s="9"/>
    </row>
    <row r="745">
      <c r="A745" s="9"/>
    </row>
    <row r="746">
      <c r="A746" s="9"/>
    </row>
    <row r="747">
      <c r="A747" s="9"/>
    </row>
    <row r="748">
      <c r="A748" s="9"/>
    </row>
    <row r="749">
      <c r="A749" s="9"/>
    </row>
    <row r="750">
      <c r="A750" s="9"/>
    </row>
    <row r="751">
      <c r="A751" s="9"/>
    </row>
    <row r="752">
      <c r="A752" s="9"/>
    </row>
    <row r="753">
      <c r="A753" s="9"/>
    </row>
    <row r="754">
      <c r="A754" s="9"/>
    </row>
    <row r="755">
      <c r="A755" s="9"/>
    </row>
    <row r="756">
      <c r="A756" s="9"/>
    </row>
    <row r="757">
      <c r="A757" s="9"/>
    </row>
    <row r="758">
      <c r="A758" s="9"/>
    </row>
    <row r="759">
      <c r="A759" s="9"/>
    </row>
    <row r="760">
      <c r="A760" s="9"/>
    </row>
    <row r="761">
      <c r="A761" s="9"/>
    </row>
    <row r="762">
      <c r="A762" s="9"/>
    </row>
    <row r="763">
      <c r="A763" s="9"/>
    </row>
    <row r="764">
      <c r="A764" s="9"/>
    </row>
    <row r="765">
      <c r="A765" s="9"/>
    </row>
    <row r="766">
      <c r="A766" s="9"/>
    </row>
    <row r="767">
      <c r="A767" s="9"/>
    </row>
    <row r="768">
      <c r="A768" s="9"/>
    </row>
    <row r="769">
      <c r="A769" s="9"/>
    </row>
    <row r="770">
      <c r="A770" s="9"/>
    </row>
    <row r="771">
      <c r="A771" s="9"/>
    </row>
    <row r="772">
      <c r="A772" s="9"/>
    </row>
    <row r="773">
      <c r="A773" s="9"/>
    </row>
    <row r="774">
      <c r="A774" s="9"/>
    </row>
    <row r="775">
      <c r="A775" s="9"/>
    </row>
    <row r="776">
      <c r="A776" s="9"/>
    </row>
    <row r="777">
      <c r="A777" s="9"/>
    </row>
    <row r="778">
      <c r="A778" s="9"/>
    </row>
    <row r="779">
      <c r="A779" s="9"/>
    </row>
    <row r="780">
      <c r="A780" s="9"/>
    </row>
    <row r="781">
      <c r="A781" s="9"/>
    </row>
    <row r="782">
      <c r="A782" s="9"/>
    </row>
    <row r="783">
      <c r="A783" s="9"/>
    </row>
    <row r="784">
      <c r="A784" s="9"/>
    </row>
    <row r="785">
      <c r="A785" s="9"/>
    </row>
    <row r="786">
      <c r="A786" s="9"/>
    </row>
    <row r="787">
      <c r="A787" s="9"/>
    </row>
    <row r="788">
      <c r="A788" s="9"/>
    </row>
    <row r="789">
      <c r="A789" s="9"/>
    </row>
    <row r="790">
      <c r="A790" s="9"/>
    </row>
    <row r="791">
      <c r="A791" s="9"/>
    </row>
    <row r="792">
      <c r="A792" s="9"/>
    </row>
    <row r="793">
      <c r="A793" s="9"/>
    </row>
    <row r="794">
      <c r="A794" s="9"/>
    </row>
    <row r="795">
      <c r="A795" s="9"/>
    </row>
    <row r="796">
      <c r="A796" s="9"/>
    </row>
    <row r="797">
      <c r="A797" s="9"/>
    </row>
    <row r="798">
      <c r="A798" s="9"/>
    </row>
    <row r="799">
      <c r="A799" s="9"/>
    </row>
    <row r="800">
      <c r="A800" s="9"/>
    </row>
    <row r="801">
      <c r="A801" s="9"/>
    </row>
    <row r="802">
      <c r="A802" s="9"/>
    </row>
    <row r="803">
      <c r="A803" s="9"/>
    </row>
    <row r="804">
      <c r="A804" s="9"/>
    </row>
    <row r="805">
      <c r="A805" s="9"/>
    </row>
    <row r="806">
      <c r="A806" s="9"/>
    </row>
    <row r="807">
      <c r="A807" s="9"/>
    </row>
    <row r="808">
      <c r="A808" s="9"/>
    </row>
    <row r="809">
      <c r="A809" s="9"/>
    </row>
    <row r="810">
      <c r="A810" s="9"/>
    </row>
    <row r="811">
      <c r="A811" s="9"/>
    </row>
    <row r="812">
      <c r="A812" s="9"/>
    </row>
    <row r="813">
      <c r="A813" s="9"/>
    </row>
    <row r="814">
      <c r="A814" s="9"/>
    </row>
    <row r="815">
      <c r="A815" s="9"/>
    </row>
    <row r="816">
      <c r="A816" s="9"/>
    </row>
    <row r="817">
      <c r="A817" s="9"/>
    </row>
    <row r="818">
      <c r="A818" s="9"/>
    </row>
    <row r="819">
      <c r="A819" s="9"/>
    </row>
    <row r="820">
      <c r="A820" s="9"/>
    </row>
    <row r="821">
      <c r="A821" s="9"/>
    </row>
    <row r="822">
      <c r="A822" s="9"/>
    </row>
    <row r="823">
      <c r="A823" s="9"/>
    </row>
    <row r="824">
      <c r="A824" s="9"/>
    </row>
    <row r="825">
      <c r="A825" s="9"/>
    </row>
    <row r="826">
      <c r="A826" s="9"/>
    </row>
    <row r="827">
      <c r="A827" s="9"/>
    </row>
    <row r="828">
      <c r="A828" s="9"/>
    </row>
    <row r="829">
      <c r="A829" s="9"/>
    </row>
    <row r="830">
      <c r="A830" s="9"/>
    </row>
    <row r="831">
      <c r="A831" s="9"/>
    </row>
    <row r="832">
      <c r="A832" s="9"/>
    </row>
    <row r="833">
      <c r="A833" s="9"/>
    </row>
    <row r="834">
      <c r="A834" s="9"/>
    </row>
    <row r="835">
      <c r="A835" s="9"/>
    </row>
    <row r="836">
      <c r="A836" s="9"/>
    </row>
    <row r="837">
      <c r="A837" s="9"/>
    </row>
    <row r="838">
      <c r="A838" s="9"/>
    </row>
    <row r="839">
      <c r="A839" s="9"/>
    </row>
    <row r="840">
      <c r="A840" s="9"/>
    </row>
    <row r="841">
      <c r="A841" s="9"/>
    </row>
    <row r="842">
      <c r="A842" s="9"/>
    </row>
    <row r="843">
      <c r="A843" s="9"/>
    </row>
    <row r="844">
      <c r="A844" s="9"/>
    </row>
    <row r="845">
      <c r="A845" s="9"/>
    </row>
    <row r="846">
      <c r="A846" s="9"/>
    </row>
    <row r="847">
      <c r="A847" s="9"/>
    </row>
    <row r="848">
      <c r="A848" s="9"/>
    </row>
    <row r="849">
      <c r="A849" s="9"/>
    </row>
    <row r="850">
      <c r="A850" s="9"/>
    </row>
    <row r="851">
      <c r="A851" s="9"/>
    </row>
    <row r="852">
      <c r="A852" s="9"/>
    </row>
    <row r="853">
      <c r="A853" s="9"/>
    </row>
    <row r="854">
      <c r="A854" s="9"/>
    </row>
    <row r="855">
      <c r="A855" s="9"/>
    </row>
    <row r="856">
      <c r="A856" s="9"/>
    </row>
    <row r="857">
      <c r="A857" s="9"/>
    </row>
    <row r="858">
      <c r="A858" s="9"/>
    </row>
    <row r="859">
      <c r="A859" s="9"/>
    </row>
    <row r="860">
      <c r="A860" s="9"/>
    </row>
    <row r="861">
      <c r="A861" s="9"/>
    </row>
    <row r="862">
      <c r="A862" s="9"/>
    </row>
    <row r="863">
      <c r="A863" s="9"/>
    </row>
    <row r="864">
      <c r="A864" s="9"/>
    </row>
    <row r="865">
      <c r="A865" s="9"/>
    </row>
    <row r="866">
      <c r="A866" s="9"/>
    </row>
    <row r="867">
      <c r="A867" s="9"/>
    </row>
    <row r="868">
      <c r="A868" s="9"/>
    </row>
    <row r="869">
      <c r="A869" s="9"/>
    </row>
    <row r="870">
      <c r="A870" s="9"/>
    </row>
    <row r="871">
      <c r="A871" s="9"/>
    </row>
    <row r="872">
      <c r="A872" s="9"/>
    </row>
    <row r="873">
      <c r="A873" s="9"/>
    </row>
    <row r="874">
      <c r="A874" s="9"/>
    </row>
    <row r="875">
      <c r="A875" s="9"/>
    </row>
    <row r="876">
      <c r="A876" s="9"/>
    </row>
    <row r="877">
      <c r="A877" s="9"/>
    </row>
    <row r="878">
      <c r="A878" s="9"/>
    </row>
    <row r="879">
      <c r="A879" s="9"/>
    </row>
    <row r="880">
      <c r="A880" s="9"/>
    </row>
    <row r="881">
      <c r="A881" s="9"/>
    </row>
    <row r="882">
      <c r="A882" s="9"/>
    </row>
    <row r="883">
      <c r="A883" s="9"/>
    </row>
    <row r="884">
      <c r="A884" s="9"/>
    </row>
    <row r="885">
      <c r="A885" s="9"/>
    </row>
    <row r="886">
      <c r="A886" s="9"/>
    </row>
    <row r="887">
      <c r="A887" s="9"/>
    </row>
    <row r="888">
      <c r="A888" s="9"/>
    </row>
    <row r="889">
      <c r="A889" s="9"/>
    </row>
    <row r="890">
      <c r="A890" s="9"/>
    </row>
    <row r="891">
      <c r="A891" s="9"/>
    </row>
    <row r="892">
      <c r="A892" s="9"/>
    </row>
    <row r="893">
      <c r="A893" s="9"/>
    </row>
    <row r="894">
      <c r="A894" s="9"/>
    </row>
    <row r="895">
      <c r="A895" s="9"/>
    </row>
    <row r="896">
      <c r="A896" s="9"/>
    </row>
    <row r="897">
      <c r="A897" s="9"/>
    </row>
    <row r="898">
      <c r="A898" s="9"/>
    </row>
    <row r="899">
      <c r="A899" s="9"/>
    </row>
    <row r="900">
      <c r="A900" s="9"/>
    </row>
    <row r="901">
      <c r="A901" s="9"/>
    </row>
    <row r="902">
      <c r="A902" s="9"/>
    </row>
    <row r="903">
      <c r="A903" s="9"/>
    </row>
    <row r="904">
      <c r="A904" s="9"/>
    </row>
    <row r="905">
      <c r="A905" s="9"/>
    </row>
    <row r="906">
      <c r="A906" s="9"/>
    </row>
    <row r="907">
      <c r="A907" s="9"/>
    </row>
    <row r="908">
      <c r="A908" s="9"/>
    </row>
    <row r="909">
      <c r="A909" s="9"/>
    </row>
    <row r="910">
      <c r="A910" s="9"/>
    </row>
    <row r="911">
      <c r="A911" s="9"/>
    </row>
    <row r="912">
      <c r="A912" s="9"/>
    </row>
    <row r="913">
      <c r="A913" s="9"/>
    </row>
    <row r="914">
      <c r="A914" s="9"/>
    </row>
    <row r="915">
      <c r="A915" s="9"/>
    </row>
    <row r="916">
      <c r="A916" s="9"/>
    </row>
    <row r="917">
      <c r="A917" s="9"/>
    </row>
    <row r="918">
      <c r="A918" s="9"/>
    </row>
    <row r="919">
      <c r="A919" s="9"/>
    </row>
    <row r="920">
      <c r="A920" s="9"/>
    </row>
    <row r="921">
      <c r="A921" s="9"/>
    </row>
    <row r="922">
      <c r="A922" s="9"/>
    </row>
    <row r="923">
      <c r="A923" s="9"/>
    </row>
    <row r="924">
      <c r="A924" s="9"/>
    </row>
    <row r="925">
      <c r="A925" s="9"/>
    </row>
    <row r="926">
      <c r="A926" s="9"/>
    </row>
    <row r="927">
      <c r="A927" s="9"/>
    </row>
    <row r="928">
      <c r="A928" s="9"/>
    </row>
    <row r="929">
      <c r="A929" s="9"/>
    </row>
    <row r="930">
      <c r="A930" s="9"/>
    </row>
    <row r="931">
      <c r="A931" s="9"/>
    </row>
    <row r="932">
      <c r="A932" s="9"/>
    </row>
    <row r="933">
      <c r="A933" s="9"/>
    </row>
    <row r="934">
      <c r="A934" s="9"/>
    </row>
    <row r="935">
      <c r="A935" s="9"/>
    </row>
    <row r="936">
      <c r="A936" s="9"/>
    </row>
    <row r="937">
      <c r="A937" s="9"/>
    </row>
    <row r="938">
      <c r="A938" s="9"/>
    </row>
    <row r="939">
      <c r="A939" s="9"/>
    </row>
    <row r="940">
      <c r="A940" s="9"/>
    </row>
    <row r="941">
      <c r="A941" s="9"/>
    </row>
    <row r="942">
      <c r="A942" s="9"/>
    </row>
    <row r="943">
      <c r="A943" s="9"/>
    </row>
    <row r="944">
      <c r="A944" s="9"/>
    </row>
    <row r="945">
      <c r="A945" s="9"/>
    </row>
    <row r="946">
      <c r="A946" s="9"/>
    </row>
    <row r="947">
      <c r="A947" s="9"/>
    </row>
    <row r="948">
      <c r="A948" s="9"/>
    </row>
    <row r="949">
      <c r="A949" s="9"/>
    </row>
    <row r="950">
      <c r="A950" s="9"/>
    </row>
    <row r="951">
      <c r="A951" s="9"/>
    </row>
    <row r="952">
      <c r="A952" s="9"/>
    </row>
    <row r="953">
      <c r="A953" s="9"/>
    </row>
    <row r="954">
      <c r="A954" s="9"/>
    </row>
    <row r="955">
      <c r="A955" s="9"/>
    </row>
    <row r="956">
      <c r="A956" s="9"/>
    </row>
    <row r="957">
      <c r="A957" s="9"/>
    </row>
    <row r="958">
      <c r="A958" s="9"/>
    </row>
    <row r="959">
      <c r="A959" s="9"/>
    </row>
    <row r="960">
      <c r="A960" s="9"/>
    </row>
    <row r="961">
      <c r="A961" s="9"/>
    </row>
    <row r="962">
      <c r="A962" s="9"/>
    </row>
    <row r="963">
      <c r="A963" s="9"/>
    </row>
    <row r="964">
      <c r="A964" s="9"/>
    </row>
    <row r="965">
      <c r="A965" s="9"/>
    </row>
    <row r="966">
      <c r="A966" s="9"/>
    </row>
    <row r="967">
      <c r="A967" s="9"/>
    </row>
    <row r="968">
      <c r="A968" s="9"/>
    </row>
    <row r="969">
      <c r="A969" s="9"/>
    </row>
    <row r="970">
      <c r="A970" s="9"/>
    </row>
    <row r="971">
      <c r="A971" s="9"/>
    </row>
    <row r="972">
      <c r="A972" s="9"/>
    </row>
    <row r="973">
      <c r="A973" s="9"/>
    </row>
    <row r="974">
      <c r="A974" s="9"/>
    </row>
    <row r="975">
      <c r="A975" s="9"/>
    </row>
    <row r="976">
      <c r="A976" s="9"/>
    </row>
    <row r="977">
      <c r="A977" s="9"/>
    </row>
    <row r="978">
      <c r="A978" s="9"/>
    </row>
    <row r="979">
      <c r="A979" s="9"/>
    </row>
    <row r="980">
      <c r="A980" s="9"/>
    </row>
    <row r="981">
      <c r="A981" s="9"/>
    </row>
    <row r="982">
      <c r="A982" s="9"/>
    </row>
    <row r="983">
      <c r="A983" s="9"/>
    </row>
    <row r="984">
      <c r="A984" s="9"/>
    </row>
    <row r="985">
      <c r="A985" s="9"/>
    </row>
    <row r="986">
      <c r="A986" s="9"/>
    </row>
    <row r="987">
      <c r="A987" s="9"/>
    </row>
    <row r="988">
      <c r="A988" s="9"/>
    </row>
    <row r="989">
      <c r="A989" s="9"/>
    </row>
    <row r="990">
      <c r="A990" s="9"/>
    </row>
    <row r="991">
      <c r="A991" s="9"/>
    </row>
    <row r="992">
      <c r="A992" s="9"/>
    </row>
    <row r="993">
      <c r="A993" s="9"/>
    </row>
    <row r="994">
      <c r="A994" s="9"/>
    </row>
    <row r="995">
      <c r="A995" s="9"/>
    </row>
    <row r="996">
      <c r="A996" s="9"/>
    </row>
    <row r="997">
      <c r="A997" s="9"/>
    </row>
    <row r="998">
      <c r="A998" s="9"/>
    </row>
    <row r="999">
      <c r="A999" s="9"/>
    </row>
    <row r="1000">
      <c r="A1000" s="9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16.0"/>
    <col customWidth="1" min="7" max="7" width="24.86"/>
    <col customWidth="1" min="10" max="12" width="21.0"/>
  </cols>
  <sheetData>
    <row r="1" ht="45.0" customHeight="1">
      <c r="A1" s="11" t="s">
        <v>8</v>
      </c>
      <c r="B1" s="12" t="s">
        <v>9</v>
      </c>
      <c r="C1" s="12" t="s">
        <v>10</v>
      </c>
      <c r="D1" s="12" t="s">
        <v>11</v>
      </c>
      <c r="E1" s="12" t="s">
        <v>12</v>
      </c>
      <c r="F1" s="13" t="s">
        <v>13</v>
      </c>
      <c r="G1" s="14" t="s">
        <v>1</v>
      </c>
      <c r="H1" s="15" t="s">
        <v>14</v>
      </c>
      <c r="I1" s="14" t="s">
        <v>15</v>
      </c>
      <c r="J1" s="16" t="s">
        <v>16</v>
      </c>
      <c r="K1" s="16" t="s">
        <v>5</v>
      </c>
      <c r="L1" s="16" t="s">
        <v>6</v>
      </c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>
      <c r="A2" s="18">
        <v>26.0</v>
      </c>
      <c r="B2" s="19">
        <v>44080.0</v>
      </c>
      <c r="C2" s="20">
        <v>0.2986111111111111</v>
      </c>
      <c r="D2" s="19">
        <v>44080.0</v>
      </c>
      <c r="E2" s="20">
        <v>0.46041666666666664</v>
      </c>
      <c r="F2" s="20">
        <v>0.16180555555555556</v>
      </c>
      <c r="G2" s="21" t="s">
        <v>17</v>
      </c>
      <c r="H2" s="22">
        <v>30.0</v>
      </c>
      <c r="I2" s="21" t="s">
        <v>18</v>
      </c>
      <c r="J2" s="23" t="s">
        <v>19</v>
      </c>
      <c r="K2" s="24"/>
      <c r="L2" s="25"/>
    </row>
    <row r="3">
      <c r="A3" s="18">
        <v>92.0</v>
      </c>
      <c r="B3" s="19">
        <v>44079.0</v>
      </c>
      <c r="C3" s="20">
        <v>0.4409722222222222</v>
      </c>
      <c r="D3" s="19">
        <v>44079.0</v>
      </c>
      <c r="E3" s="20">
        <v>0.6152777777777778</v>
      </c>
      <c r="F3" s="20">
        <v>0.17430555555555555</v>
      </c>
      <c r="G3" s="21" t="s">
        <v>20</v>
      </c>
      <c r="H3" s="22">
        <v>30.0</v>
      </c>
      <c r="I3" s="21" t="s">
        <v>18</v>
      </c>
      <c r="J3" s="23" t="s">
        <v>21</v>
      </c>
      <c r="K3" s="23" t="s">
        <v>22</v>
      </c>
      <c r="L3" s="23" t="s">
        <v>23</v>
      </c>
    </row>
    <row r="4">
      <c r="A4" s="18">
        <v>55.0</v>
      </c>
      <c r="B4" s="19">
        <v>44079.0</v>
      </c>
      <c r="C4" s="20">
        <v>0.46805555555555556</v>
      </c>
      <c r="D4" s="19">
        <v>44079.0</v>
      </c>
      <c r="E4" s="20">
        <v>0.6611111111111111</v>
      </c>
      <c r="F4" s="20">
        <v>0.19305555555555556</v>
      </c>
      <c r="G4" s="26"/>
      <c r="H4" s="22">
        <v>30.0</v>
      </c>
      <c r="I4" s="21" t="s">
        <v>18</v>
      </c>
      <c r="J4" s="23" t="s">
        <v>24</v>
      </c>
      <c r="K4" s="24"/>
      <c r="L4" s="25"/>
    </row>
    <row r="5">
      <c r="A5" s="18">
        <v>120.0</v>
      </c>
      <c r="B5" s="19">
        <v>44079.0</v>
      </c>
      <c r="C5" s="20">
        <v>0.3840277777777778</v>
      </c>
      <c r="D5" s="19">
        <v>44079.0</v>
      </c>
      <c r="E5" s="20">
        <v>0.6125</v>
      </c>
      <c r="F5" s="20">
        <v>0.22847222222222222</v>
      </c>
      <c r="G5" s="27" t="s">
        <v>25</v>
      </c>
      <c r="H5" s="22">
        <v>30.0</v>
      </c>
      <c r="I5" s="27" t="s">
        <v>18</v>
      </c>
      <c r="J5" s="27" t="s">
        <v>26</v>
      </c>
      <c r="K5" s="28"/>
      <c r="L5" s="29"/>
    </row>
    <row r="6">
      <c r="A6" s="18">
        <v>29.0</v>
      </c>
      <c r="B6" s="19">
        <v>44079.0</v>
      </c>
      <c r="C6" s="20">
        <v>0.39791666666666664</v>
      </c>
      <c r="D6" s="19">
        <v>44079.0</v>
      </c>
      <c r="E6" s="20">
        <v>0.6305555555555555</v>
      </c>
      <c r="F6" s="20">
        <v>0.2326388888888889</v>
      </c>
      <c r="G6" s="21" t="s">
        <v>27</v>
      </c>
      <c r="H6" s="22">
        <v>30.0</v>
      </c>
      <c r="I6" s="21" t="s">
        <v>18</v>
      </c>
      <c r="J6" s="23" t="s">
        <v>28</v>
      </c>
      <c r="K6" s="24"/>
      <c r="L6" s="25"/>
    </row>
    <row r="7">
      <c r="A7" s="18">
        <v>18.0</v>
      </c>
      <c r="B7" s="19">
        <v>44079.0</v>
      </c>
      <c r="C7" s="20">
        <v>0.5583333333333333</v>
      </c>
      <c r="D7" s="19">
        <v>44079.0</v>
      </c>
      <c r="E7" s="20">
        <v>0.8048611111111111</v>
      </c>
      <c r="F7" s="20">
        <v>0.2465277777777778</v>
      </c>
      <c r="G7" s="26"/>
      <c r="H7" s="22">
        <v>30.0</v>
      </c>
      <c r="I7" s="21" t="s">
        <v>18</v>
      </c>
      <c r="J7" s="23" t="s">
        <v>29</v>
      </c>
      <c r="K7" s="24"/>
      <c r="L7" s="25"/>
    </row>
    <row r="8">
      <c r="A8" s="18">
        <v>7.0</v>
      </c>
      <c r="B8" s="19">
        <v>44079.0</v>
      </c>
      <c r="C8" s="20">
        <v>0.31875</v>
      </c>
      <c r="D8" s="19">
        <v>44079.0</v>
      </c>
      <c r="E8" s="20">
        <v>0.6041666666666666</v>
      </c>
      <c r="F8" s="20">
        <v>0.28541666666666665</v>
      </c>
      <c r="G8" s="21" t="s">
        <v>30</v>
      </c>
      <c r="H8" s="22">
        <v>40.0</v>
      </c>
      <c r="I8" s="21" t="s">
        <v>18</v>
      </c>
      <c r="J8" s="23" t="s">
        <v>31</v>
      </c>
      <c r="K8" s="30"/>
      <c r="L8" s="25"/>
    </row>
    <row r="9">
      <c r="A9" s="18">
        <v>61.0</v>
      </c>
      <c r="B9" s="19">
        <v>44079.0</v>
      </c>
      <c r="C9" s="20">
        <v>0.33125</v>
      </c>
      <c r="D9" s="19">
        <v>44079.0</v>
      </c>
      <c r="E9" s="20">
        <v>0.6263888888888889</v>
      </c>
      <c r="F9" s="20">
        <v>0.2951388888888889</v>
      </c>
      <c r="G9" s="21" t="s">
        <v>32</v>
      </c>
      <c r="H9" s="22">
        <v>30.0</v>
      </c>
      <c r="I9" s="21" t="s">
        <v>18</v>
      </c>
      <c r="J9" s="23" t="s">
        <v>33</v>
      </c>
      <c r="K9" s="23" t="s">
        <v>34</v>
      </c>
      <c r="L9" s="25"/>
    </row>
    <row r="10">
      <c r="A10" s="18">
        <v>77.0</v>
      </c>
      <c r="B10" s="19">
        <v>44079.0</v>
      </c>
      <c r="C10" s="20">
        <v>0.40625</v>
      </c>
      <c r="D10" s="19">
        <v>44079.0</v>
      </c>
      <c r="E10" s="20">
        <v>0.7013888888888888</v>
      </c>
      <c r="F10" s="20">
        <v>0.2951388888888889</v>
      </c>
      <c r="G10" s="21" t="s">
        <v>35</v>
      </c>
      <c r="H10" s="22">
        <v>30.0</v>
      </c>
      <c r="I10" s="21" t="s">
        <v>18</v>
      </c>
      <c r="J10" s="23" t="s">
        <v>36</v>
      </c>
      <c r="K10" s="30"/>
      <c r="L10" s="25"/>
    </row>
    <row r="11">
      <c r="A11" s="18">
        <v>59.0</v>
      </c>
      <c r="B11" s="19">
        <v>44079.0</v>
      </c>
      <c r="C11" s="20">
        <v>0.5236111111111111</v>
      </c>
      <c r="D11" s="19">
        <v>44079.0</v>
      </c>
      <c r="E11" s="20">
        <v>0.8284722222222223</v>
      </c>
      <c r="F11" s="20">
        <v>0.30486111111111114</v>
      </c>
      <c r="G11" s="21" t="s">
        <v>37</v>
      </c>
      <c r="H11" s="22">
        <v>30.0</v>
      </c>
      <c r="I11" s="21" t="s">
        <v>18</v>
      </c>
      <c r="J11" s="23" t="s">
        <v>38</v>
      </c>
      <c r="K11" s="23" t="s">
        <v>39</v>
      </c>
      <c r="L11" s="25"/>
    </row>
    <row r="12">
      <c r="A12" s="31">
        <v>101.0</v>
      </c>
      <c r="B12" s="32">
        <v>44079.0</v>
      </c>
      <c r="C12" s="33">
        <v>0.3958333333333333</v>
      </c>
      <c r="D12" s="32">
        <v>44079.0</v>
      </c>
      <c r="E12" s="33">
        <v>0.7048611111111112</v>
      </c>
      <c r="F12" s="33">
        <v>0.3090277777777778</v>
      </c>
      <c r="G12" s="21" t="s">
        <v>40</v>
      </c>
      <c r="H12" s="22">
        <v>30.0</v>
      </c>
      <c r="I12" s="21" t="s">
        <v>18</v>
      </c>
      <c r="J12" s="23" t="s">
        <v>41</v>
      </c>
      <c r="K12" s="23" t="s">
        <v>42</v>
      </c>
      <c r="L12" s="23" t="s">
        <v>43</v>
      </c>
    </row>
    <row r="13">
      <c r="A13" s="18">
        <v>82.0</v>
      </c>
      <c r="B13" s="19">
        <v>44079.0</v>
      </c>
      <c r="C13" s="20">
        <v>0.375</v>
      </c>
      <c r="D13" s="19">
        <v>44079.0</v>
      </c>
      <c r="E13" s="20">
        <v>0.6847222222222222</v>
      </c>
      <c r="F13" s="20">
        <v>0.30972222222222223</v>
      </c>
      <c r="G13" s="21" t="s">
        <v>44</v>
      </c>
      <c r="H13" s="22">
        <v>30.0</v>
      </c>
      <c r="I13" s="21" t="s">
        <v>18</v>
      </c>
      <c r="J13" s="23" t="s">
        <v>45</v>
      </c>
      <c r="K13" s="30"/>
      <c r="L13" s="25"/>
    </row>
    <row r="14">
      <c r="A14" s="18">
        <v>49.0</v>
      </c>
      <c r="B14" s="19">
        <v>44079.0</v>
      </c>
      <c r="C14" s="20">
        <v>0.34930555555555554</v>
      </c>
      <c r="D14" s="19">
        <v>44079.0</v>
      </c>
      <c r="E14" s="20">
        <v>0.6590277777777778</v>
      </c>
      <c r="F14" s="20">
        <v>0.30972222222222223</v>
      </c>
      <c r="G14" s="21" t="s">
        <v>46</v>
      </c>
      <c r="H14" s="22">
        <v>30.0</v>
      </c>
      <c r="I14" s="21" t="s">
        <v>18</v>
      </c>
      <c r="J14" s="23" t="s">
        <v>47</v>
      </c>
      <c r="K14" s="34" t="s">
        <v>48</v>
      </c>
      <c r="L14" s="25"/>
    </row>
    <row r="15">
      <c r="A15" s="18">
        <v>105.0</v>
      </c>
      <c r="B15" s="19">
        <v>44079.0</v>
      </c>
      <c r="C15" s="20">
        <v>0.3611111111111111</v>
      </c>
      <c r="D15" s="19">
        <v>44079.0</v>
      </c>
      <c r="E15" s="20">
        <v>0.6756944444444445</v>
      </c>
      <c r="F15" s="20">
        <v>0.3145833333333333</v>
      </c>
      <c r="G15" s="27" t="s">
        <v>49</v>
      </c>
      <c r="H15" s="22">
        <v>30.0</v>
      </c>
      <c r="I15" s="27" t="s">
        <v>18</v>
      </c>
      <c r="J15" s="27" t="s">
        <v>50</v>
      </c>
      <c r="K15" s="27" t="s">
        <v>51</v>
      </c>
      <c r="L15" s="29"/>
    </row>
    <row r="16">
      <c r="A16" s="18">
        <v>50.0</v>
      </c>
      <c r="B16" s="19">
        <v>44079.0</v>
      </c>
      <c r="C16" s="20">
        <v>0.4847222222222222</v>
      </c>
      <c r="D16" s="19">
        <v>44079.0</v>
      </c>
      <c r="E16" s="20">
        <v>0.8138888888888889</v>
      </c>
      <c r="F16" s="20">
        <v>0.32916666666666666</v>
      </c>
      <c r="G16" s="21" t="s">
        <v>52</v>
      </c>
      <c r="H16" s="22">
        <v>30.0</v>
      </c>
      <c r="I16" s="21" t="s">
        <v>18</v>
      </c>
      <c r="J16" s="23" t="s">
        <v>53</v>
      </c>
      <c r="K16" s="30"/>
      <c r="L16" s="25"/>
    </row>
    <row r="17">
      <c r="A17" s="18">
        <v>93.0</v>
      </c>
      <c r="B17" s="19">
        <v>44079.0</v>
      </c>
      <c r="C17" s="20">
        <v>0.3923611111111111</v>
      </c>
      <c r="D17" s="19">
        <v>44079.0</v>
      </c>
      <c r="E17" s="20">
        <v>0.7236111111111111</v>
      </c>
      <c r="F17" s="20">
        <v>0.33125</v>
      </c>
      <c r="G17" s="21" t="s">
        <v>54</v>
      </c>
      <c r="H17" s="22">
        <v>30.0</v>
      </c>
      <c r="I17" s="21" t="s">
        <v>18</v>
      </c>
      <c r="J17" s="23" t="s">
        <v>55</v>
      </c>
      <c r="K17" s="23" t="s">
        <v>56</v>
      </c>
      <c r="L17" s="23" t="s">
        <v>57</v>
      </c>
    </row>
    <row r="18">
      <c r="A18" s="18">
        <v>5.0</v>
      </c>
      <c r="B18" s="19">
        <v>44079.0</v>
      </c>
      <c r="C18" s="20">
        <v>0.4951388888888889</v>
      </c>
      <c r="D18" s="19">
        <v>44079.0</v>
      </c>
      <c r="E18" s="20">
        <v>0.83125</v>
      </c>
      <c r="F18" s="20">
        <v>0.33611111111111114</v>
      </c>
      <c r="G18" s="21" t="s">
        <v>58</v>
      </c>
      <c r="H18" s="22">
        <v>30.0</v>
      </c>
      <c r="I18" s="21" t="s">
        <v>18</v>
      </c>
      <c r="J18" s="23" t="s">
        <v>59</v>
      </c>
      <c r="K18" s="30"/>
      <c r="L18" s="25"/>
    </row>
    <row r="19">
      <c r="A19" s="18">
        <v>96.0</v>
      </c>
      <c r="B19" s="19">
        <v>44079.0</v>
      </c>
      <c r="C19" s="20">
        <v>0.425</v>
      </c>
      <c r="D19" s="19">
        <v>44079.0</v>
      </c>
      <c r="E19" s="20">
        <v>0.7666666666666667</v>
      </c>
      <c r="F19" s="20">
        <v>0.3416666666666667</v>
      </c>
      <c r="G19" s="21" t="s">
        <v>60</v>
      </c>
      <c r="H19" s="22">
        <v>30.0</v>
      </c>
      <c r="I19" s="21" t="s">
        <v>18</v>
      </c>
      <c r="J19" s="23" t="s">
        <v>61</v>
      </c>
      <c r="K19" s="23" t="s">
        <v>62</v>
      </c>
      <c r="L19" s="23" t="s">
        <v>39</v>
      </c>
    </row>
    <row r="20">
      <c r="A20" s="18">
        <v>106.0</v>
      </c>
      <c r="B20" s="19">
        <v>44079.0</v>
      </c>
      <c r="C20" s="20">
        <v>0.3840277777777778</v>
      </c>
      <c r="D20" s="19">
        <v>44079.0</v>
      </c>
      <c r="E20" s="20">
        <v>0.7277777777777777</v>
      </c>
      <c r="F20" s="20">
        <v>0.34375</v>
      </c>
      <c r="G20" s="28"/>
      <c r="H20" s="22">
        <v>30.0</v>
      </c>
      <c r="I20" s="27" t="s">
        <v>18</v>
      </c>
      <c r="J20" s="27" t="s">
        <v>63</v>
      </c>
      <c r="K20" s="35"/>
      <c r="L20" s="29"/>
    </row>
    <row r="21">
      <c r="A21" s="18">
        <v>41.0</v>
      </c>
      <c r="B21" s="19">
        <v>44079.0</v>
      </c>
      <c r="C21" s="20">
        <v>0.5090277777777777</v>
      </c>
      <c r="D21" s="19">
        <v>44079.0</v>
      </c>
      <c r="E21" s="20">
        <v>0.8548611111111111</v>
      </c>
      <c r="F21" s="20">
        <v>0.3458333333333333</v>
      </c>
      <c r="G21" s="36" t="s">
        <v>64</v>
      </c>
      <c r="H21" s="37">
        <v>40.0</v>
      </c>
      <c r="I21" s="21" t="s">
        <v>18</v>
      </c>
      <c r="J21" s="23" t="s">
        <v>64</v>
      </c>
      <c r="K21" s="30"/>
      <c r="L21" s="25"/>
    </row>
    <row r="22">
      <c r="A22" s="18">
        <v>52.0</v>
      </c>
      <c r="B22" s="19">
        <v>44079.0</v>
      </c>
      <c r="C22" s="20">
        <v>0.4270833333333333</v>
      </c>
      <c r="D22" s="19">
        <v>44079.0</v>
      </c>
      <c r="E22" s="20">
        <v>0.7861111111111111</v>
      </c>
      <c r="F22" s="20">
        <v>0.3590277777777778</v>
      </c>
      <c r="G22" s="21" t="s">
        <v>65</v>
      </c>
      <c r="H22" s="22">
        <v>40.0</v>
      </c>
      <c r="I22" s="21" t="s">
        <v>18</v>
      </c>
      <c r="J22" s="23" t="s">
        <v>65</v>
      </c>
      <c r="K22" s="30"/>
      <c r="L22" s="25"/>
    </row>
    <row r="23">
      <c r="A23" s="18">
        <v>78.0</v>
      </c>
      <c r="B23" s="19">
        <v>44079.0</v>
      </c>
      <c r="C23" s="20">
        <v>0.4270833333333333</v>
      </c>
      <c r="D23" s="19">
        <v>44079.0</v>
      </c>
      <c r="E23" s="20">
        <v>0.7861111111111111</v>
      </c>
      <c r="F23" s="20">
        <v>0.3590277777777778</v>
      </c>
      <c r="G23" s="26"/>
      <c r="H23" s="22">
        <v>40.0</v>
      </c>
      <c r="I23" s="21" t="s">
        <v>18</v>
      </c>
      <c r="J23" s="23" t="s">
        <v>66</v>
      </c>
      <c r="K23" s="30"/>
      <c r="L23" s="25"/>
    </row>
    <row r="24">
      <c r="A24" s="18">
        <v>114.0</v>
      </c>
      <c r="B24" s="19">
        <v>44079.0</v>
      </c>
      <c r="C24" s="20">
        <v>0.3611111111111111</v>
      </c>
      <c r="D24" s="19">
        <v>44079.0</v>
      </c>
      <c r="E24" s="20">
        <v>0.7236111111111111</v>
      </c>
      <c r="F24" s="20">
        <v>0.3625</v>
      </c>
      <c r="G24" s="27" t="s">
        <v>67</v>
      </c>
      <c r="H24" s="22">
        <v>40.0</v>
      </c>
      <c r="I24" s="27" t="s">
        <v>18</v>
      </c>
      <c r="J24" s="21" t="s">
        <v>68</v>
      </c>
      <c r="K24" s="35"/>
      <c r="L24" s="29"/>
    </row>
    <row r="25">
      <c r="A25" s="18">
        <v>110.0</v>
      </c>
      <c r="B25" s="19">
        <v>44079.0</v>
      </c>
      <c r="C25" s="20">
        <v>0.4131944444444444</v>
      </c>
      <c r="D25" s="19">
        <v>44079.0</v>
      </c>
      <c r="E25" s="20">
        <v>0.7826388888888889</v>
      </c>
      <c r="F25" s="20">
        <v>0.36944444444444446</v>
      </c>
      <c r="G25" s="29"/>
      <c r="H25" s="22">
        <v>30.0</v>
      </c>
      <c r="I25" s="27" t="s">
        <v>18</v>
      </c>
      <c r="J25" s="27" t="s">
        <v>69</v>
      </c>
      <c r="K25" s="29"/>
      <c r="L25" s="29"/>
    </row>
    <row r="26">
      <c r="A26" s="18">
        <v>85.0</v>
      </c>
      <c r="B26" s="19">
        <v>44080.0</v>
      </c>
      <c r="C26" s="20">
        <v>0.4270833333333333</v>
      </c>
      <c r="D26" s="19">
        <v>44080.0</v>
      </c>
      <c r="E26" s="20">
        <v>0.7986111111111112</v>
      </c>
      <c r="F26" s="20">
        <v>0.3715277777777778</v>
      </c>
      <c r="G26" s="21" t="s">
        <v>70</v>
      </c>
      <c r="H26" s="22">
        <v>30.0</v>
      </c>
      <c r="I26" s="21" t="s">
        <v>18</v>
      </c>
      <c r="J26" s="23" t="s">
        <v>71</v>
      </c>
      <c r="K26" s="23" t="s">
        <v>72</v>
      </c>
      <c r="L26" s="25"/>
    </row>
    <row r="27">
      <c r="A27" s="18">
        <v>39.0</v>
      </c>
      <c r="B27" s="19">
        <v>44079.0</v>
      </c>
      <c r="C27" s="20">
        <v>0.38472222222222224</v>
      </c>
      <c r="D27" s="19">
        <v>44079.0</v>
      </c>
      <c r="E27" s="20">
        <v>0.75625</v>
      </c>
      <c r="F27" s="20">
        <v>0.3715277777777778</v>
      </c>
      <c r="G27" s="36" t="s">
        <v>73</v>
      </c>
      <c r="H27" s="37">
        <v>30.0</v>
      </c>
      <c r="I27" s="21" t="s">
        <v>18</v>
      </c>
      <c r="J27" s="23" t="s">
        <v>74</v>
      </c>
      <c r="K27" s="34" t="s">
        <v>75</v>
      </c>
      <c r="L27" s="23" t="s">
        <v>76</v>
      </c>
    </row>
    <row r="28">
      <c r="A28" s="18">
        <v>121.0</v>
      </c>
      <c r="B28" s="19">
        <v>44079.0</v>
      </c>
      <c r="C28" s="20">
        <v>0.3840277777777778</v>
      </c>
      <c r="D28" s="19">
        <v>44079.0</v>
      </c>
      <c r="E28" s="20">
        <v>0.7638888888888888</v>
      </c>
      <c r="F28" s="20">
        <v>0.3798611111111111</v>
      </c>
      <c r="G28" s="27" t="s">
        <v>77</v>
      </c>
      <c r="H28" s="22">
        <v>30.0</v>
      </c>
      <c r="I28" s="27" t="s">
        <v>18</v>
      </c>
      <c r="J28" s="27" t="s">
        <v>78</v>
      </c>
      <c r="K28" s="29"/>
      <c r="L28" s="29"/>
    </row>
    <row r="29">
      <c r="A29" s="18">
        <v>53.0</v>
      </c>
      <c r="B29" s="19">
        <v>44079.0</v>
      </c>
      <c r="C29" s="20">
        <v>0.5569444444444445</v>
      </c>
      <c r="D29" s="19">
        <v>44079.0</v>
      </c>
      <c r="E29" s="20">
        <v>0.9381944444444444</v>
      </c>
      <c r="F29" s="20">
        <v>0.38125</v>
      </c>
      <c r="G29" s="21" t="s">
        <v>79</v>
      </c>
      <c r="H29" s="22">
        <v>30.0</v>
      </c>
      <c r="I29" s="21" t="s">
        <v>18</v>
      </c>
      <c r="J29" s="23" t="s">
        <v>80</v>
      </c>
      <c r="K29" s="23" t="s">
        <v>81</v>
      </c>
      <c r="L29" s="25"/>
    </row>
    <row r="30">
      <c r="A30" s="18">
        <v>97.0</v>
      </c>
      <c r="B30" s="19">
        <v>44079.0</v>
      </c>
      <c r="C30" s="20">
        <v>0.32083333333333336</v>
      </c>
      <c r="D30" s="19">
        <v>44079.0</v>
      </c>
      <c r="E30" s="20">
        <v>0.7069444444444445</v>
      </c>
      <c r="F30" s="20">
        <v>0.3861111111111111</v>
      </c>
      <c r="G30" s="21" t="s">
        <v>82</v>
      </c>
      <c r="H30" s="22">
        <v>30.0</v>
      </c>
      <c r="I30" s="21" t="s">
        <v>18</v>
      </c>
      <c r="J30" s="23" t="s">
        <v>83</v>
      </c>
      <c r="K30" s="23" t="s">
        <v>84</v>
      </c>
      <c r="L30" s="23" t="s">
        <v>85</v>
      </c>
    </row>
    <row r="31">
      <c r="A31" s="18">
        <v>91.0</v>
      </c>
      <c r="B31" s="19">
        <v>44079.0</v>
      </c>
      <c r="C31" s="20">
        <v>0.3541666666666667</v>
      </c>
      <c r="D31" s="19">
        <v>44079.0</v>
      </c>
      <c r="E31" s="20">
        <v>0.7465277777777778</v>
      </c>
      <c r="F31" s="20">
        <v>0.3923611111111111</v>
      </c>
      <c r="G31" s="21" t="s">
        <v>86</v>
      </c>
      <c r="H31" s="22">
        <v>40.0</v>
      </c>
      <c r="I31" s="21" t="s">
        <v>18</v>
      </c>
      <c r="J31" s="23" t="s">
        <v>87</v>
      </c>
      <c r="K31" s="23" t="s">
        <v>88</v>
      </c>
      <c r="L31" s="25"/>
    </row>
    <row r="32">
      <c r="A32" s="18">
        <v>8.0</v>
      </c>
      <c r="B32" s="19">
        <v>44079.0</v>
      </c>
      <c r="C32" s="20">
        <v>0.4638888888888889</v>
      </c>
      <c r="D32" s="19">
        <v>44079.0</v>
      </c>
      <c r="E32" s="20">
        <v>0.8569444444444444</v>
      </c>
      <c r="F32" s="20">
        <v>0.39305555555555555</v>
      </c>
      <c r="G32" s="21" t="s">
        <v>89</v>
      </c>
      <c r="H32" s="22">
        <v>30.0</v>
      </c>
      <c r="I32" s="21" t="s">
        <v>18</v>
      </c>
      <c r="J32" s="23" t="s">
        <v>90</v>
      </c>
      <c r="K32" s="38"/>
      <c r="L32" s="25"/>
    </row>
    <row r="33">
      <c r="A33" s="18">
        <v>63.0</v>
      </c>
      <c r="B33" s="19">
        <v>44079.0</v>
      </c>
      <c r="C33" s="20">
        <v>0.5236111111111111</v>
      </c>
      <c r="D33" s="19">
        <v>44079.0</v>
      </c>
      <c r="E33" s="20">
        <v>0.9215277777777777</v>
      </c>
      <c r="F33" s="20">
        <v>0.39791666666666664</v>
      </c>
      <c r="G33" s="39"/>
      <c r="H33" s="22">
        <v>60.0</v>
      </c>
      <c r="I33" s="21" t="s">
        <v>18</v>
      </c>
      <c r="J33" s="23" t="s">
        <v>91</v>
      </c>
      <c r="K33" s="25"/>
      <c r="L33" s="25"/>
    </row>
    <row r="34">
      <c r="A34" s="18">
        <v>42.0</v>
      </c>
      <c r="B34" s="19">
        <v>44079.0</v>
      </c>
      <c r="C34" s="20">
        <v>0.3770833333333333</v>
      </c>
      <c r="D34" s="19">
        <v>44079.0</v>
      </c>
      <c r="E34" s="20">
        <v>0.7777777777777778</v>
      </c>
      <c r="F34" s="20">
        <v>0.40069444444444446</v>
      </c>
      <c r="G34" s="36" t="s">
        <v>92</v>
      </c>
      <c r="H34" s="37">
        <v>40.0</v>
      </c>
      <c r="I34" s="21" t="s">
        <v>18</v>
      </c>
      <c r="J34" s="23" t="s">
        <v>93</v>
      </c>
      <c r="K34" s="23" t="s">
        <v>94</v>
      </c>
      <c r="L34" s="25"/>
    </row>
    <row r="35">
      <c r="A35" s="18">
        <v>99.0</v>
      </c>
      <c r="B35" s="19">
        <v>44079.0</v>
      </c>
      <c r="C35" s="20">
        <v>0.49027777777777776</v>
      </c>
      <c r="D35" s="19">
        <v>44079.0</v>
      </c>
      <c r="E35" s="20">
        <v>0.8979166666666667</v>
      </c>
      <c r="F35" s="20">
        <v>0.4076388888888889</v>
      </c>
      <c r="G35" s="21" t="s">
        <v>95</v>
      </c>
      <c r="H35" s="22">
        <v>60.0</v>
      </c>
      <c r="I35" s="21" t="s">
        <v>18</v>
      </c>
      <c r="J35" s="21" t="s">
        <v>96</v>
      </c>
      <c r="K35" s="39"/>
      <c r="L35" s="39"/>
    </row>
    <row r="36">
      <c r="A36" s="18">
        <v>48.0</v>
      </c>
      <c r="B36" s="19">
        <v>44079.0</v>
      </c>
      <c r="C36" s="20">
        <v>0.3333333333333333</v>
      </c>
      <c r="D36" s="19">
        <v>44079.0</v>
      </c>
      <c r="E36" s="20">
        <v>0.7458333333333333</v>
      </c>
      <c r="F36" s="20">
        <v>0.4125</v>
      </c>
      <c r="G36" s="21" t="s">
        <v>97</v>
      </c>
      <c r="H36" s="22">
        <v>40.0</v>
      </c>
      <c r="I36" s="21" t="s">
        <v>18</v>
      </c>
      <c r="J36" s="23" t="s">
        <v>98</v>
      </c>
      <c r="K36" s="25"/>
      <c r="L36" s="25"/>
    </row>
    <row r="37">
      <c r="A37" s="18">
        <v>112.0</v>
      </c>
      <c r="B37" s="19">
        <v>44079.0</v>
      </c>
      <c r="C37" s="20">
        <v>0.3333333333333333</v>
      </c>
      <c r="D37" s="19">
        <v>44079.0</v>
      </c>
      <c r="E37" s="20">
        <v>0.7458333333333333</v>
      </c>
      <c r="F37" s="20">
        <v>0.4125</v>
      </c>
      <c r="G37" s="29"/>
      <c r="H37" s="22">
        <v>40.0</v>
      </c>
      <c r="I37" s="27" t="s">
        <v>18</v>
      </c>
      <c r="J37" s="21" t="s">
        <v>99</v>
      </c>
      <c r="K37" s="29"/>
      <c r="L37" s="29"/>
    </row>
    <row r="38">
      <c r="A38" s="18">
        <v>94.0</v>
      </c>
      <c r="B38" s="19">
        <v>44079.0</v>
      </c>
      <c r="C38" s="20">
        <v>0.3527777777777778</v>
      </c>
      <c r="D38" s="19">
        <v>44079.0</v>
      </c>
      <c r="E38" s="20">
        <v>0.7784722222222222</v>
      </c>
      <c r="F38" s="20">
        <v>0.42569444444444443</v>
      </c>
      <c r="G38" s="21" t="s">
        <v>100</v>
      </c>
      <c r="H38" s="22">
        <v>40.0</v>
      </c>
      <c r="I38" s="21" t="s">
        <v>18</v>
      </c>
      <c r="J38" s="23" t="s">
        <v>101</v>
      </c>
      <c r="K38" s="23" t="s">
        <v>102</v>
      </c>
      <c r="L38" s="25"/>
    </row>
    <row r="39">
      <c r="A39" s="18">
        <v>95.0</v>
      </c>
      <c r="B39" s="19">
        <v>44079.0</v>
      </c>
      <c r="C39" s="20">
        <v>0.3527777777777778</v>
      </c>
      <c r="D39" s="19">
        <v>44079.0</v>
      </c>
      <c r="E39" s="20">
        <v>0.7784722222222222</v>
      </c>
      <c r="F39" s="20">
        <v>0.42569444444444443</v>
      </c>
      <c r="G39" s="21" t="s">
        <v>103</v>
      </c>
      <c r="H39" s="22">
        <v>40.0</v>
      </c>
      <c r="I39" s="21" t="s">
        <v>18</v>
      </c>
      <c r="J39" s="23" t="s">
        <v>104</v>
      </c>
      <c r="K39" s="23" t="s">
        <v>105</v>
      </c>
      <c r="L39" s="25"/>
    </row>
    <row r="40">
      <c r="A40" s="18">
        <v>43.0</v>
      </c>
      <c r="B40" s="19">
        <v>44079.0</v>
      </c>
      <c r="C40" s="20">
        <v>0.3236111111111111</v>
      </c>
      <c r="D40" s="19">
        <v>44079.0</v>
      </c>
      <c r="E40" s="20">
        <v>0.7527777777777778</v>
      </c>
      <c r="F40" s="20">
        <v>0.42916666666666664</v>
      </c>
      <c r="G40" s="21" t="s">
        <v>106</v>
      </c>
      <c r="H40" s="22">
        <v>60.0</v>
      </c>
      <c r="I40" s="21" t="s">
        <v>18</v>
      </c>
      <c r="J40" s="23" t="s">
        <v>107</v>
      </c>
      <c r="K40" s="25"/>
      <c r="L40" s="25"/>
    </row>
    <row r="41">
      <c r="A41" s="18">
        <v>79.0</v>
      </c>
      <c r="B41" s="19">
        <v>44078.0</v>
      </c>
      <c r="C41" s="20">
        <v>0.96875</v>
      </c>
      <c r="D41" s="19">
        <v>44079.0</v>
      </c>
      <c r="E41" s="20">
        <v>0.39861111111111114</v>
      </c>
      <c r="F41" s="20">
        <v>0.42986111111111114</v>
      </c>
      <c r="G41" s="21" t="s">
        <v>108</v>
      </c>
      <c r="H41" s="22">
        <v>40.0</v>
      </c>
      <c r="I41" s="21" t="s">
        <v>109</v>
      </c>
      <c r="J41" s="21" t="s">
        <v>110</v>
      </c>
      <c r="K41" s="39"/>
      <c r="L41" s="39"/>
    </row>
    <row r="42">
      <c r="A42" s="18">
        <v>3.0</v>
      </c>
      <c r="B42" s="19">
        <v>44079.0</v>
      </c>
      <c r="C42" s="20">
        <v>0.36319444444444443</v>
      </c>
      <c r="D42" s="19">
        <v>44079.0</v>
      </c>
      <c r="E42" s="20">
        <v>0.8027777777777778</v>
      </c>
      <c r="F42" s="20">
        <v>0.4395833333333333</v>
      </c>
      <c r="G42" s="21" t="s">
        <v>58</v>
      </c>
      <c r="H42" s="22">
        <v>40.0</v>
      </c>
      <c r="I42" s="21" t="s">
        <v>18</v>
      </c>
      <c r="J42" s="23" t="s">
        <v>111</v>
      </c>
      <c r="K42" s="25"/>
      <c r="L42" s="25"/>
    </row>
    <row r="43">
      <c r="A43" s="18">
        <v>73.0</v>
      </c>
      <c r="B43" s="19">
        <v>44079.0</v>
      </c>
      <c r="C43" s="20">
        <v>0.36319444444444443</v>
      </c>
      <c r="D43" s="19">
        <v>44079.0</v>
      </c>
      <c r="E43" s="20">
        <v>0.8027777777777778</v>
      </c>
      <c r="F43" s="20">
        <v>0.4395833333333333</v>
      </c>
      <c r="G43" s="39"/>
      <c r="H43" s="22">
        <v>40.0</v>
      </c>
      <c r="I43" s="21" t="s">
        <v>18</v>
      </c>
      <c r="J43" s="23" t="s">
        <v>112</v>
      </c>
      <c r="K43" s="25"/>
      <c r="L43" s="25"/>
    </row>
    <row r="44">
      <c r="A44" s="18">
        <v>30.0</v>
      </c>
      <c r="B44" s="19">
        <v>44079.0</v>
      </c>
      <c r="C44" s="20">
        <v>0.29791666666666666</v>
      </c>
      <c r="D44" s="19">
        <v>44079.0</v>
      </c>
      <c r="E44" s="20">
        <v>0.7458333333333333</v>
      </c>
      <c r="F44" s="20">
        <v>0.4479166666666667</v>
      </c>
      <c r="G44" s="39"/>
      <c r="H44" s="22">
        <v>30.0</v>
      </c>
      <c r="I44" s="21" t="s">
        <v>18</v>
      </c>
      <c r="J44" s="23" t="s">
        <v>113</v>
      </c>
      <c r="K44" s="25"/>
      <c r="L44" s="25"/>
    </row>
    <row r="45">
      <c r="A45" s="18">
        <v>47.0</v>
      </c>
      <c r="B45" s="19">
        <v>44079.0</v>
      </c>
      <c r="C45" s="20">
        <v>0.4708333333333333</v>
      </c>
      <c r="D45" s="19">
        <v>44079.0</v>
      </c>
      <c r="E45" s="20">
        <v>0.9729166666666667</v>
      </c>
      <c r="F45" s="20">
        <v>0.5020833333333333</v>
      </c>
      <c r="G45" s="39"/>
      <c r="H45" s="22">
        <v>30.0</v>
      </c>
      <c r="I45" s="21" t="s">
        <v>18</v>
      </c>
      <c r="J45" s="34" t="s">
        <v>114</v>
      </c>
      <c r="K45" s="25"/>
      <c r="L45" s="25"/>
    </row>
    <row r="46">
      <c r="A46" s="18">
        <v>74.0</v>
      </c>
      <c r="B46" s="19">
        <v>44079.0</v>
      </c>
      <c r="C46" s="20">
        <v>0.4708333333333333</v>
      </c>
      <c r="D46" s="19">
        <v>44079.0</v>
      </c>
      <c r="E46" s="20">
        <v>0.9729166666666667</v>
      </c>
      <c r="F46" s="20">
        <v>0.5020833333333333</v>
      </c>
      <c r="G46" s="21" t="s">
        <v>115</v>
      </c>
      <c r="H46" s="22">
        <v>30.0</v>
      </c>
      <c r="I46" s="21" t="s">
        <v>18</v>
      </c>
      <c r="J46" s="34" t="s">
        <v>116</v>
      </c>
      <c r="K46" s="25"/>
      <c r="L46" s="25"/>
    </row>
    <row r="47">
      <c r="A47" s="18">
        <v>104.0</v>
      </c>
      <c r="B47" s="19">
        <v>44079.0</v>
      </c>
      <c r="C47" s="20">
        <v>0.4708333333333333</v>
      </c>
      <c r="D47" s="19">
        <v>44079.0</v>
      </c>
      <c r="E47" s="20">
        <v>0.9729166666666667</v>
      </c>
      <c r="F47" s="20">
        <v>0.5020833333333333</v>
      </c>
      <c r="G47" s="29"/>
      <c r="H47" s="22">
        <v>30.0</v>
      </c>
      <c r="I47" s="27" t="s">
        <v>18</v>
      </c>
      <c r="J47" s="27" t="s">
        <v>117</v>
      </c>
      <c r="K47" s="29"/>
      <c r="L47" s="29"/>
    </row>
    <row r="48">
      <c r="A48" s="18">
        <v>67.0</v>
      </c>
      <c r="B48" s="19">
        <v>44079.0</v>
      </c>
      <c r="C48" s="20">
        <v>0.41597222222222224</v>
      </c>
      <c r="D48" s="19">
        <v>44079.0</v>
      </c>
      <c r="E48" s="20">
        <v>0.9222222222222223</v>
      </c>
      <c r="F48" s="20">
        <v>0.50625</v>
      </c>
      <c r="G48" s="21" t="s">
        <v>118</v>
      </c>
      <c r="H48" s="22">
        <v>40.0</v>
      </c>
      <c r="I48" s="21" t="s">
        <v>18</v>
      </c>
      <c r="J48" s="23" t="s">
        <v>119</v>
      </c>
      <c r="K48" s="23" t="s">
        <v>120</v>
      </c>
      <c r="L48" s="23" t="s">
        <v>121</v>
      </c>
    </row>
    <row r="49">
      <c r="A49" s="18">
        <v>103.0</v>
      </c>
      <c r="B49" s="19">
        <v>44078.0</v>
      </c>
      <c r="C49" s="20">
        <v>0.8534722222222222</v>
      </c>
      <c r="D49" s="19">
        <v>44079.0</v>
      </c>
      <c r="E49" s="20">
        <v>0.3638888888888889</v>
      </c>
      <c r="F49" s="20">
        <v>0.5104166666666666</v>
      </c>
      <c r="G49" s="27" t="s">
        <v>122</v>
      </c>
      <c r="H49" s="22">
        <v>40.0</v>
      </c>
      <c r="I49" s="27" t="s">
        <v>109</v>
      </c>
      <c r="J49" s="27" t="s">
        <v>123</v>
      </c>
      <c r="K49" s="27" t="s">
        <v>124</v>
      </c>
      <c r="L49" s="29"/>
    </row>
    <row r="50">
      <c r="A50" s="18">
        <v>45.0</v>
      </c>
      <c r="B50" s="19">
        <v>44079.0</v>
      </c>
      <c r="C50" s="20">
        <v>0.41388888888888886</v>
      </c>
      <c r="D50" s="19">
        <v>44079.0</v>
      </c>
      <c r="E50" s="20">
        <v>0.9444444444444444</v>
      </c>
      <c r="F50" s="20">
        <v>0.5305555555555556</v>
      </c>
      <c r="G50" s="21" t="s">
        <v>125</v>
      </c>
      <c r="H50" s="22">
        <v>40.0</v>
      </c>
      <c r="I50" s="21" t="s">
        <v>18</v>
      </c>
      <c r="J50" s="23" t="s">
        <v>126</v>
      </c>
      <c r="K50" s="25"/>
      <c r="L50" s="25"/>
    </row>
    <row r="51">
      <c r="A51" s="18">
        <v>1.0</v>
      </c>
      <c r="B51" s="19">
        <v>44079.0</v>
      </c>
      <c r="C51" s="20">
        <v>0.3715277777777778</v>
      </c>
      <c r="D51" s="19">
        <v>44079.0</v>
      </c>
      <c r="E51" s="20">
        <v>0.9145833333333333</v>
      </c>
      <c r="F51" s="20">
        <v>0.5430555555555555</v>
      </c>
      <c r="G51" s="21" t="s">
        <v>127</v>
      </c>
      <c r="H51" s="22">
        <v>60.0</v>
      </c>
      <c r="I51" s="21" t="s">
        <v>18</v>
      </c>
      <c r="J51" s="23" t="s">
        <v>128</v>
      </c>
      <c r="K51" s="23" t="s">
        <v>129</v>
      </c>
      <c r="L51" s="25"/>
    </row>
    <row r="52">
      <c r="A52" s="18">
        <v>72.0</v>
      </c>
      <c r="B52" s="19">
        <v>44079.0</v>
      </c>
      <c r="C52" s="20">
        <v>0.3763888888888889</v>
      </c>
      <c r="D52" s="19">
        <v>44079.0</v>
      </c>
      <c r="E52" s="20">
        <v>0.9201388888888888</v>
      </c>
      <c r="F52" s="20">
        <v>0.54375</v>
      </c>
      <c r="G52" s="21" t="s">
        <v>130</v>
      </c>
      <c r="H52" s="22">
        <v>60.0</v>
      </c>
      <c r="I52" s="21" t="s">
        <v>18</v>
      </c>
      <c r="J52" s="23" t="s">
        <v>131</v>
      </c>
      <c r="K52" s="23" t="s">
        <v>132</v>
      </c>
      <c r="L52" s="25"/>
    </row>
    <row r="53">
      <c r="A53" s="40">
        <v>89.0</v>
      </c>
      <c r="B53" s="41">
        <v>44079.0</v>
      </c>
      <c r="C53" s="42">
        <v>0.4638888888888889</v>
      </c>
      <c r="D53" s="41">
        <v>44080.0</v>
      </c>
      <c r="E53" s="42">
        <v>0.025</v>
      </c>
      <c r="F53" s="42">
        <v>0.5611111111111111</v>
      </c>
      <c r="G53" s="21" t="s">
        <v>133</v>
      </c>
      <c r="H53" s="22">
        <v>30.0</v>
      </c>
      <c r="I53" s="21" t="s">
        <v>18</v>
      </c>
      <c r="J53" s="23" t="s">
        <v>134</v>
      </c>
      <c r="K53" s="23" t="s">
        <v>135</v>
      </c>
      <c r="L53" s="25"/>
    </row>
    <row r="54">
      <c r="A54" s="18">
        <v>109.0</v>
      </c>
      <c r="B54" s="19">
        <v>44079.0</v>
      </c>
      <c r="C54" s="20">
        <v>0.32222222222222224</v>
      </c>
      <c r="D54" s="19">
        <v>44079.0</v>
      </c>
      <c r="E54" s="20">
        <v>0.8958333333333334</v>
      </c>
      <c r="F54" s="20">
        <v>0.5736111111111111</v>
      </c>
      <c r="G54" s="27" t="s">
        <v>136</v>
      </c>
      <c r="H54" s="22">
        <v>60.0</v>
      </c>
      <c r="I54" s="27" t="s">
        <v>18</v>
      </c>
      <c r="J54" s="23" t="s">
        <v>137</v>
      </c>
      <c r="K54" s="27" t="s">
        <v>138</v>
      </c>
      <c r="L54" s="27" t="s">
        <v>139</v>
      </c>
    </row>
    <row r="55">
      <c r="A55" s="18">
        <v>22.0</v>
      </c>
      <c r="B55" s="19">
        <v>44078.0</v>
      </c>
      <c r="C55" s="20">
        <v>0.9604166666666667</v>
      </c>
      <c r="D55" s="19">
        <v>44079.0</v>
      </c>
      <c r="E55" s="20">
        <v>0.5451388888888888</v>
      </c>
      <c r="F55" s="20">
        <v>0.5847222222222223</v>
      </c>
      <c r="G55" s="39"/>
      <c r="H55" s="22">
        <v>60.0</v>
      </c>
      <c r="I55" s="21" t="s">
        <v>109</v>
      </c>
      <c r="J55" s="23" t="s">
        <v>140</v>
      </c>
      <c r="K55" s="39"/>
      <c r="L55" s="39"/>
    </row>
    <row r="56">
      <c r="A56" s="18">
        <v>80.0</v>
      </c>
      <c r="B56" s="19">
        <v>44079.0</v>
      </c>
      <c r="C56" s="20">
        <v>0.4534722222222222</v>
      </c>
      <c r="D56" s="19">
        <v>44080.0</v>
      </c>
      <c r="E56" s="20">
        <v>0.041666666666666664</v>
      </c>
      <c r="F56" s="20">
        <v>0.5881944444444445</v>
      </c>
      <c r="G56" s="21" t="s">
        <v>141</v>
      </c>
      <c r="H56" s="22">
        <v>60.0</v>
      </c>
      <c r="I56" s="21" t="s">
        <v>18</v>
      </c>
      <c r="J56" s="23" t="s">
        <v>142</v>
      </c>
      <c r="K56" s="23" t="s">
        <v>143</v>
      </c>
      <c r="L56" s="25"/>
    </row>
    <row r="57">
      <c r="A57" s="40">
        <v>90.0</v>
      </c>
      <c r="B57" s="41">
        <v>44079.0</v>
      </c>
      <c r="C57" s="42">
        <v>0.5611111111111111</v>
      </c>
      <c r="D57" s="41">
        <v>44080.0</v>
      </c>
      <c r="E57" s="42">
        <v>0.15347222222222223</v>
      </c>
      <c r="F57" s="42">
        <v>0.5923611111111111</v>
      </c>
      <c r="G57" s="21" t="s">
        <v>144</v>
      </c>
      <c r="H57" s="22">
        <v>40.0</v>
      </c>
      <c r="I57" s="21" t="s">
        <v>18</v>
      </c>
      <c r="J57" s="23" t="s">
        <v>145</v>
      </c>
      <c r="K57" s="23" t="s">
        <v>146</v>
      </c>
      <c r="L57" s="25"/>
    </row>
    <row r="58">
      <c r="A58" s="18">
        <v>113.0</v>
      </c>
      <c r="B58" s="19">
        <v>44079.0</v>
      </c>
      <c r="C58" s="20">
        <v>0.32916666666666666</v>
      </c>
      <c r="D58" s="19">
        <v>44079.0</v>
      </c>
      <c r="E58" s="20">
        <v>0.9375</v>
      </c>
      <c r="F58" s="20">
        <v>0.6083333333333333</v>
      </c>
      <c r="G58" s="29"/>
      <c r="H58" s="22">
        <v>60.0</v>
      </c>
      <c r="I58" s="27" t="s">
        <v>18</v>
      </c>
      <c r="J58" s="23" t="s">
        <v>147</v>
      </c>
      <c r="K58" s="29"/>
      <c r="L58" s="29"/>
    </row>
    <row r="59">
      <c r="A59" s="18">
        <v>62.0</v>
      </c>
      <c r="B59" s="19">
        <v>44078.0</v>
      </c>
      <c r="C59" s="20">
        <v>0.9027777777777778</v>
      </c>
      <c r="D59" s="19">
        <v>44079.0</v>
      </c>
      <c r="E59" s="20">
        <v>0.5215277777777778</v>
      </c>
      <c r="F59" s="43" t="s">
        <v>148</v>
      </c>
      <c r="G59" s="21" t="s">
        <v>149</v>
      </c>
      <c r="H59" s="22">
        <v>100.0</v>
      </c>
      <c r="I59" s="21" t="s">
        <v>109</v>
      </c>
      <c r="J59" s="23" t="s">
        <v>150</v>
      </c>
      <c r="K59" s="39"/>
      <c r="L59" s="39"/>
    </row>
    <row r="60">
      <c r="A60" s="18">
        <v>9.0</v>
      </c>
      <c r="B60" s="19">
        <v>44079.0</v>
      </c>
      <c r="C60" s="20">
        <v>0.34930555555555554</v>
      </c>
      <c r="D60" s="19">
        <v>44080.0</v>
      </c>
      <c r="E60" s="20">
        <v>0.009027777777777777</v>
      </c>
      <c r="F60" s="20">
        <v>0.6597222222222222</v>
      </c>
      <c r="G60" s="39"/>
      <c r="H60" s="22">
        <v>60.0</v>
      </c>
      <c r="I60" s="21" t="s">
        <v>18</v>
      </c>
      <c r="J60" s="23" t="s">
        <v>151</v>
      </c>
      <c r="K60" s="25"/>
      <c r="L60" s="25"/>
    </row>
    <row r="61">
      <c r="A61" s="18">
        <v>84.0</v>
      </c>
      <c r="B61" s="19">
        <v>44079.0</v>
      </c>
      <c r="C61" s="20">
        <v>0.4270833333333333</v>
      </c>
      <c r="D61" s="19">
        <v>44080.0</v>
      </c>
      <c r="E61" s="20">
        <v>0.09166666666666666</v>
      </c>
      <c r="F61" s="20">
        <v>0.6645833333333333</v>
      </c>
      <c r="G61" s="21" t="s">
        <v>152</v>
      </c>
      <c r="H61" s="22">
        <v>40.0</v>
      </c>
      <c r="I61" s="21" t="s">
        <v>18</v>
      </c>
      <c r="J61" s="23" t="s">
        <v>153</v>
      </c>
      <c r="K61" s="25"/>
      <c r="L61" s="25"/>
    </row>
    <row r="62">
      <c r="A62" s="18">
        <v>76.0</v>
      </c>
      <c r="B62" s="19">
        <v>44079.0</v>
      </c>
      <c r="C62" s="20">
        <v>0.38333333333333336</v>
      </c>
      <c r="D62" s="19">
        <v>44080.0</v>
      </c>
      <c r="E62" s="20">
        <v>0.09722222222222222</v>
      </c>
      <c r="F62" s="20">
        <v>0.7138888888888889</v>
      </c>
      <c r="G62" s="21" t="s">
        <v>154</v>
      </c>
      <c r="H62" s="22">
        <v>40.0</v>
      </c>
      <c r="I62" s="21" t="s">
        <v>18</v>
      </c>
      <c r="J62" s="23" t="s">
        <v>155</v>
      </c>
      <c r="K62" s="23" t="s">
        <v>156</v>
      </c>
      <c r="L62" s="23" t="s">
        <v>157</v>
      </c>
    </row>
    <row r="63">
      <c r="A63" s="40">
        <v>87.0</v>
      </c>
      <c r="B63" s="41">
        <v>44079.0</v>
      </c>
      <c r="C63" s="42">
        <v>0.9097222222222222</v>
      </c>
      <c r="D63" s="41">
        <v>44080.0</v>
      </c>
      <c r="E63" s="42">
        <v>0.64375</v>
      </c>
      <c r="F63" s="42">
        <v>0.7340277777777777</v>
      </c>
      <c r="G63" s="21" t="s">
        <v>158</v>
      </c>
      <c r="H63" s="22">
        <v>60.0</v>
      </c>
      <c r="I63" s="21" t="s">
        <v>109</v>
      </c>
      <c r="J63" s="21" t="s">
        <v>159</v>
      </c>
      <c r="K63" s="39"/>
      <c r="L63" s="39"/>
    </row>
    <row r="64">
      <c r="A64" s="18">
        <v>64.0</v>
      </c>
      <c r="B64" s="19">
        <v>44078.0</v>
      </c>
      <c r="C64" s="20">
        <v>0.9604166666666667</v>
      </c>
      <c r="D64" s="19">
        <v>44079.0</v>
      </c>
      <c r="E64" s="20">
        <v>0.7361111111111112</v>
      </c>
      <c r="F64" s="20">
        <v>0.7756944444444445</v>
      </c>
      <c r="G64" s="21" t="s">
        <v>160</v>
      </c>
      <c r="H64" s="22">
        <v>100.0</v>
      </c>
      <c r="I64" s="21" t="s">
        <v>109</v>
      </c>
      <c r="J64" s="21" t="s">
        <v>161</v>
      </c>
      <c r="K64" s="39"/>
      <c r="L64" s="39"/>
    </row>
    <row r="65">
      <c r="A65" s="18">
        <v>34.0</v>
      </c>
      <c r="B65" s="19">
        <v>44078.0</v>
      </c>
      <c r="C65" s="20">
        <v>0.8708333333333333</v>
      </c>
      <c r="D65" s="19">
        <v>44079.0</v>
      </c>
      <c r="E65" s="20">
        <v>0.7763888888888889</v>
      </c>
      <c r="F65" s="20">
        <v>0.9055555555555556</v>
      </c>
      <c r="G65" s="44" t="s">
        <v>162</v>
      </c>
      <c r="H65" s="22">
        <v>60.0</v>
      </c>
      <c r="I65" s="21" t="s">
        <v>109</v>
      </c>
      <c r="J65" s="21" t="s">
        <v>163</v>
      </c>
      <c r="K65" s="39"/>
      <c r="L65" s="39"/>
    </row>
    <row r="66">
      <c r="A66" s="18">
        <v>28.0</v>
      </c>
      <c r="B66" s="19">
        <v>44078.0</v>
      </c>
      <c r="C66" s="20">
        <v>0.8958333333333334</v>
      </c>
      <c r="D66" s="19">
        <v>44079.0</v>
      </c>
      <c r="E66" s="20">
        <v>0.8104166666666667</v>
      </c>
      <c r="F66" s="20">
        <v>0.9145833333333333</v>
      </c>
      <c r="G66" s="21" t="s">
        <v>164</v>
      </c>
      <c r="H66" s="22">
        <v>100.0</v>
      </c>
      <c r="I66" s="21" t="s">
        <v>109</v>
      </c>
      <c r="J66" s="21" t="s">
        <v>165</v>
      </c>
      <c r="K66" s="39"/>
      <c r="L66" s="39"/>
    </row>
    <row r="67">
      <c r="A67" s="18">
        <v>19.0</v>
      </c>
      <c r="B67" s="19">
        <v>44079.0</v>
      </c>
      <c r="C67" s="20">
        <v>0.3263888888888889</v>
      </c>
      <c r="D67" s="19">
        <v>44080.0</v>
      </c>
      <c r="E67" s="20">
        <v>0.2701388888888889</v>
      </c>
      <c r="F67" s="20">
        <v>0.94375</v>
      </c>
      <c r="G67" s="39"/>
      <c r="H67" s="22">
        <v>100.0</v>
      </c>
      <c r="I67" s="21" t="s">
        <v>18</v>
      </c>
      <c r="J67" s="23" t="s">
        <v>166</v>
      </c>
      <c r="K67" s="25"/>
      <c r="L67" s="25"/>
    </row>
    <row r="68">
      <c r="A68" s="18">
        <v>33.0</v>
      </c>
      <c r="B68" s="19">
        <v>44079.0</v>
      </c>
      <c r="C68" s="20">
        <v>0.2548611111111111</v>
      </c>
      <c r="D68" s="19">
        <v>44080.0</v>
      </c>
      <c r="E68" s="20">
        <v>0.20069444444444445</v>
      </c>
      <c r="F68" s="20">
        <v>0.9458333333333333</v>
      </c>
      <c r="G68" s="39"/>
      <c r="H68" s="22">
        <v>100.0</v>
      </c>
      <c r="I68" s="21" t="s">
        <v>18</v>
      </c>
      <c r="J68" s="23" t="s">
        <v>167</v>
      </c>
      <c r="K68" s="25"/>
      <c r="L68" s="25"/>
    </row>
    <row r="69">
      <c r="A69" s="18">
        <v>35.0</v>
      </c>
      <c r="B69" s="19">
        <v>44079.0</v>
      </c>
      <c r="C69" s="20">
        <v>0.2548611111111111</v>
      </c>
      <c r="D69" s="19">
        <v>44080.0</v>
      </c>
      <c r="E69" s="20">
        <v>0.20069444444444445</v>
      </c>
      <c r="F69" s="20">
        <v>0.9458333333333333</v>
      </c>
      <c r="G69" s="39"/>
      <c r="H69" s="22">
        <v>100.0</v>
      </c>
      <c r="I69" s="21" t="s">
        <v>18</v>
      </c>
      <c r="J69" s="23" t="s">
        <v>168</v>
      </c>
      <c r="K69" s="25"/>
      <c r="L69" s="25"/>
    </row>
    <row r="70">
      <c r="A70" s="18">
        <v>6.0</v>
      </c>
      <c r="B70" s="19">
        <v>44078.0</v>
      </c>
      <c r="C70" s="20">
        <v>0.9444444444444444</v>
      </c>
      <c r="D70" s="19">
        <v>44079.0</v>
      </c>
      <c r="E70" s="20">
        <v>0.9444444444444444</v>
      </c>
      <c r="F70" s="45">
        <v>1.0</v>
      </c>
      <c r="G70" s="21" t="s">
        <v>169</v>
      </c>
      <c r="H70" s="22">
        <v>100.0</v>
      </c>
      <c r="I70" s="21" t="s">
        <v>109</v>
      </c>
      <c r="J70" s="21" t="s">
        <v>170</v>
      </c>
      <c r="K70" s="39"/>
      <c r="L70" s="39"/>
    </row>
    <row r="71">
      <c r="A71" s="18">
        <v>68.0</v>
      </c>
      <c r="B71" s="19">
        <v>44079.0</v>
      </c>
      <c r="C71" s="20">
        <v>0.3763888888888889</v>
      </c>
      <c r="D71" s="19">
        <v>44080.0</v>
      </c>
      <c r="E71" s="20">
        <v>0.4166666666666667</v>
      </c>
      <c r="F71" s="45">
        <v>1.0402777777777779</v>
      </c>
      <c r="G71" s="21" t="s">
        <v>171</v>
      </c>
      <c r="H71" s="22">
        <v>100.0</v>
      </c>
      <c r="I71" s="21" t="s">
        <v>18</v>
      </c>
      <c r="J71" s="23" t="s">
        <v>172</v>
      </c>
      <c r="K71" s="25"/>
      <c r="L71" s="25"/>
    </row>
    <row r="72">
      <c r="A72" s="18">
        <v>40.0</v>
      </c>
      <c r="B72" s="19">
        <v>44079.0</v>
      </c>
      <c r="C72" s="20">
        <v>0.43333333333333335</v>
      </c>
      <c r="D72" s="19">
        <v>44080.0</v>
      </c>
      <c r="E72" s="20">
        <v>0.5027777777777778</v>
      </c>
      <c r="F72" s="45">
        <v>1.0694444444444444</v>
      </c>
      <c r="G72" s="46"/>
      <c r="H72" s="37">
        <v>100.0</v>
      </c>
      <c r="I72" s="21" t="s">
        <v>18</v>
      </c>
      <c r="J72" s="23" t="s">
        <v>173</v>
      </c>
      <c r="K72" s="25"/>
      <c r="L72" s="25"/>
    </row>
    <row r="73">
      <c r="A73" s="18">
        <v>70.0</v>
      </c>
      <c r="B73" s="19">
        <v>44079.0</v>
      </c>
      <c r="C73" s="20">
        <v>0.43333333333333335</v>
      </c>
      <c r="D73" s="19">
        <v>44080.0</v>
      </c>
      <c r="E73" s="20">
        <v>0.5027777777777778</v>
      </c>
      <c r="F73" s="45">
        <v>1.0694444444444444</v>
      </c>
      <c r="G73" s="21" t="s">
        <v>174</v>
      </c>
      <c r="H73" s="22">
        <v>100.0</v>
      </c>
      <c r="I73" s="21" t="s">
        <v>18</v>
      </c>
      <c r="J73" s="23" t="s">
        <v>175</v>
      </c>
      <c r="K73" s="25"/>
      <c r="L73" s="25"/>
    </row>
    <row r="74">
      <c r="A74" s="40">
        <v>107.0</v>
      </c>
      <c r="B74" s="41">
        <v>44078.0</v>
      </c>
      <c r="C74" s="42">
        <v>0.9444444444444444</v>
      </c>
      <c r="D74" s="41">
        <v>44080.0</v>
      </c>
      <c r="E74" s="42">
        <v>0.09722222222222222</v>
      </c>
      <c r="F74" s="47">
        <v>1.1527777777777777</v>
      </c>
      <c r="G74" s="27" t="s">
        <v>176</v>
      </c>
      <c r="H74" s="22">
        <v>40.0</v>
      </c>
      <c r="I74" s="27" t="s">
        <v>109</v>
      </c>
      <c r="J74" s="27" t="s">
        <v>177</v>
      </c>
      <c r="K74" s="29"/>
      <c r="L74" s="29"/>
    </row>
    <row r="75">
      <c r="A75" s="18">
        <v>14.0</v>
      </c>
      <c r="B75" s="19">
        <v>44079.0</v>
      </c>
      <c r="C75" s="20">
        <v>0.3541666666666667</v>
      </c>
      <c r="D75" s="19">
        <v>44080.0</v>
      </c>
      <c r="E75" s="20">
        <v>0.5694444444444444</v>
      </c>
      <c r="F75" s="45">
        <v>1.2152777777777777</v>
      </c>
      <c r="G75" s="21" t="s">
        <v>178</v>
      </c>
      <c r="H75" s="22">
        <v>100.0</v>
      </c>
      <c r="I75" s="21" t="s">
        <v>18</v>
      </c>
      <c r="J75" s="23" t="s">
        <v>178</v>
      </c>
      <c r="K75" s="25"/>
      <c r="L75" s="25"/>
    </row>
    <row r="76">
      <c r="A76" s="18">
        <v>65.0</v>
      </c>
      <c r="B76" s="19">
        <v>44079.0</v>
      </c>
      <c r="C76" s="20">
        <v>0.3527777777777778</v>
      </c>
      <c r="D76" s="19">
        <v>44080.0</v>
      </c>
      <c r="E76" s="20">
        <v>0.56875</v>
      </c>
      <c r="F76" s="45">
        <v>1.2159722222222222</v>
      </c>
      <c r="G76" s="39"/>
      <c r="H76" s="22">
        <v>100.0</v>
      </c>
      <c r="I76" s="21" t="s">
        <v>18</v>
      </c>
      <c r="J76" s="23" t="s">
        <v>179</v>
      </c>
      <c r="K76" s="25"/>
      <c r="L76" s="25"/>
    </row>
    <row r="77">
      <c r="A77" s="18">
        <v>51.0</v>
      </c>
      <c r="B77" s="19">
        <v>44079.0</v>
      </c>
      <c r="C77" s="20">
        <v>0.4027777777777778</v>
      </c>
      <c r="D77" s="19">
        <v>44080.0</v>
      </c>
      <c r="E77" s="20">
        <v>0.6493055555555556</v>
      </c>
      <c r="F77" s="45">
        <v>1.2465277777777777</v>
      </c>
      <c r="G77" s="21" t="s">
        <v>180</v>
      </c>
      <c r="H77" s="22">
        <v>100.0</v>
      </c>
      <c r="I77" s="21" t="s">
        <v>18</v>
      </c>
      <c r="J77" s="23" t="s">
        <v>181</v>
      </c>
      <c r="K77" s="25"/>
      <c r="L77" s="25"/>
    </row>
    <row r="78">
      <c r="A78" s="18">
        <v>32.0</v>
      </c>
      <c r="B78" s="19">
        <v>44078.0</v>
      </c>
      <c r="C78" s="20">
        <v>0.9375</v>
      </c>
      <c r="D78" s="19">
        <v>44080.0</v>
      </c>
      <c r="E78" s="20">
        <v>0.1875</v>
      </c>
      <c r="F78" s="45">
        <v>1.25</v>
      </c>
      <c r="G78" s="21" t="s">
        <v>182</v>
      </c>
      <c r="H78" s="22">
        <v>100.0</v>
      </c>
      <c r="I78" s="21" t="s">
        <v>109</v>
      </c>
      <c r="J78" s="21" t="s">
        <v>183</v>
      </c>
      <c r="K78" s="21" t="s">
        <v>184</v>
      </c>
      <c r="L78" s="39"/>
    </row>
    <row r="79">
      <c r="A79" s="18">
        <v>36.0</v>
      </c>
      <c r="B79" s="19">
        <v>44079.0</v>
      </c>
      <c r="C79" s="20">
        <v>0.39861111111111114</v>
      </c>
      <c r="D79" s="19">
        <v>44080.0</v>
      </c>
      <c r="E79" s="20">
        <v>0.6493055555555556</v>
      </c>
      <c r="F79" s="45">
        <v>1.2506944444444446</v>
      </c>
      <c r="G79" s="39"/>
      <c r="H79" s="22">
        <v>100.0</v>
      </c>
      <c r="I79" s="21" t="s">
        <v>18</v>
      </c>
      <c r="J79" s="23" t="s">
        <v>185</v>
      </c>
      <c r="K79" s="25"/>
      <c r="L79" s="25"/>
    </row>
    <row r="80">
      <c r="A80" s="18">
        <v>20.0</v>
      </c>
      <c r="B80" s="19">
        <v>44078.0</v>
      </c>
      <c r="C80" s="48">
        <v>0.9604166666666667</v>
      </c>
      <c r="D80" s="49">
        <v>44079.0</v>
      </c>
      <c r="E80" s="20">
        <v>0.3111111111111111</v>
      </c>
      <c r="F80" s="50" t="s">
        <v>186</v>
      </c>
      <c r="G80" s="39"/>
      <c r="H80" s="22">
        <v>30.0</v>
      </c>
      <c r="I80" s="21" t="s">
        <v>109</v>
      </c>
      <c r="J80" s="21" t="s">
        <v>187</v>
      </c>
      <c r="K80" s="39"/>
      <c r="L80" s="39"/>
    </row>
    <row r="81">
      <c r="A81" s="18">
        <v>15.0</v>
      </c>
      <c r="B81" s="19">
        <v>44078.0</v>
      </c>
      <c r="C81" s="20">
        <v>0.9375</v>
      </c>
      <c r="D81" s="19">
        <v>44079.0</v>
      </c>
      <c r="E81" s="20">
        <v>0.7034722222222223</v>
      </c>
      <c r="F81" s="43" t="s">
        <v>148</v>
      </c>
      <c r="G81" s="21" t="s">
        <v>188</v>
      </c>
      <c r="H81" s="22">
        <v>100.0</v>
      </c>
      <c r="I81" s="21" t="s">
        <v>109</v>
      </c>
      <c r="J81" s="21" t="s">
        <v>189</v>
      </c>
      <c r="K81" s="39"/>
      <c r="L81" s="39"/>
    </row>
    <row r="82">
      <c r="A82" s="18">
        <v>23.0</v>
      </c>
      <c r="B82" s="19">
        <v>44078.0</v>
      </c>
      <c r="C82" s="20">
        <v>0.8972222222222223</v>
      </c>
      <c r="D82" s="19">
        <v>44079.0</v>
      </c>
      <c r="E82" s="20">
        <v>0.5340277777777778</v>
      </c>
      <c r="F82" s="43" t="s">
        <v>148</v>
      </c>
      <c r="G82" s="21" t="s">
        <v>190</v>
      </c>
      <c r="H82" s="22">
        <v>100.0</v>
      </c>
      <c r="I82" s="21" t="s">
        <v>109</v>
      </c>
      <c r="J82" s="21" t="s">
        <v>191</v>
      </c>
      <c r="K82" s="39"/>
      <c r="L82" s="39"/>
    </row>
    <row r="83">
      <c r="A83" s="18">
        <v>100.0</v>
      </c>
      <c r="B83" s="19">
        <v>44078.0</v>
      </c>
      <c r="C83" s="20">
        <v>0.8368055555555556</v>
      </c>
      <c r="D83" s="19">
        <v>44079.0</v>
      </c>
      <c r="E83" s="20">
        <v>0.5833333333333334</v>
      </c>
      <c r="F83" s="43" t="s">
        <v>148</v>
      </c>
      <c r="G83" s="21" t="s">
        <v>192</v>
      </c>
      <c r="H83" s="22">
        <v>100.0</v>
      </c>
      <c r="I83" s="21" t="s">
        <v>109</v>
      </c>
      <c r="J83" s="21" t="s">
        <v>193</v>
      </c>
      <c r="K83" s="39"/>
      <c r="L83" s="39"/>
    </row>
    <row r="84">
      <c r="A84" s="18">
        <v>46.0</v>
      </c>
      <c r="B84" s="19">
        <v>44078.0</v>
      </c>
      <c r="C84" s="20">
        <v>0.8944444444444445</v>
      </c>
      <c r="D84" s="19">
        <v>44079.0</v>
      </c>
      <c r="E84" s="43" t="s">
        <v>194</v>
      </c>
      <c r="F84" s="51" t="s">
        <v>195</v>
      </c>
      <c r="G84" s="39"/>
      <c r="H84" s="22">
        <v>60.0</v>
      </c>
      <c r="I84" s="21" t="s">
        <v>109</v>
      </c>
      <c r="J84" s="21" t="s">
        <v>196</v>
      </c>
      <c r="K84" s="39"/>
      <c r="L84" s="39"/>
    </row>
    <row r="85">
      <c r="A85" s="52">
        <v>11.0</v>
      </c>
      <c r="B85" s="53">
        <v>44079.0</v>
      </c>
      <c r="C85" s="54">
        <v>0.3402777777777778</v>
      </c>
      <c r="D85" s="55">
        <v>44079.0</v>
      </c>
      <c r="E85" s="56">
        <v>0.7569444444444444</v>
      </c>
      <c r="F85" s="56">
        <v>0.4166666666666667</v>
      </c>
      <c r="G85" s="57" t="s">
        <v>197</v>
      </c>
      <c r="H85" s="58">
        <v>40.0</v>
      </c>
      <c r="I85" s="57" t="s">
        <v>18</v>
      </c>
      <c r="J85" s="59" t="s">
        <v>198</v>
      </c>
      <c r="K85" s="60"/>
      <c r="L85" s="25"/>
    </row>
    <row r="86">
      <c r="A86" s="18">
        <v>38.0</v>
      </c>
      <c r="B86" s="19">
        <v>44079.0</v>
      </c>
      <c r="C86" s="43" t="s">
        <v>194</v>
      </c>
      <c r="D86" s="19">
        <v>44079.0</v>
      </c>
      <c r="E86" s="20">
        <v>0.6743055555555556</v>
      </c>
      <c r="F86" s="51" t="s">
        <v>195</v>
      </c>
      <c r="G86" s="21" t="s">
        <v>199</v>
      </c>
      <c r="H86" s="22">
        <v>30.0</v>
      </c>
      <c r="I86" s="21" t="s">
        <v>18</v>
      </c>
      <c r="J86" s="23" t="s">
        <v>200</v>
      </c>
      <c r="K86" s="23" t="s">
        <v>201</v>
      </c>
      <c r="L86" s="25"/>
    </row>
    <row r="87">
      <c r="A87" s="18">
        <v>86.0</v>
      </c>
      <c r="B87" s="19">
        <v>44079.0</v>
      </c>
      <c r="C87" s="20">
        <v>0.3798611111111111</v>
      </c>
      <c r="D87" s="19">
        <v>44079.0</v>
      </c>
      <c r="E87" s="43" t="s">
        <v>202</v>
      </c>
      <c r="F87" s="51" t="s">
        <v>195</v>
      </c>
      <c r="G87" s="21" t="s">
        <v>203</v>
      </c>
      <c r="H87" s="22">
        <v>40.0</v>
      </c>
      <c r="I87" s="21" t="s">
        <v>18</v>
      </c>
      <c r="J87" s="23" t="s">
        <v>204</v>
      </c>
      <c r="K87" s="23" t="s">
        <v>205</v>
      </c>
      <c r="L87" s="25"/>
    </row>
    <row r="88">
      <c r="A88" s="31">
        <v>102.0</v>
      </c>
      <c r="B88" s="32">
        <v>44079.0</v>
      </c>
      <c r="C88" s="61" t="s">
        <v>194</v>
      </c>
      <c r="D88" s="32">
        <v>44079.0</v>
      </c>
      <c r="E88" s="61" t="s">
        <v>194</v>
      </c>
      <c r="F88" s="62" t="s">
        <v>195</v>
      </c>
      <c r="G88" s="21" t="s">
        <v>206</v>
      </c>
      <c r="H88" s="22">
        <v>30.0</v>
      </c>
      <c r="I88" s="21" t="s">
        <v>18</v>
      </c>
      <c r="J88" s="23" t="s">
        <v>207</v>
      </c>
      <c r="K88" s="23" t="s">
        <v>208</v>
      </c>
      <c r="L88" s="23" t="s">
        <v>209</v>
      </c>
    </row>
    <row r="89">
      <c r="A89" s="63"/>
      <c r="B89" s="32">
        <v>44079.0</v>
      </c>
      <c r="C89" s="61" t="s">
        <v>194</v>
      </c>
      <c r="D89" s="32">
        <v>44079.0</v>
      </c>
      <c r="E89" s="61" t="s">
        <v>194</v>
      </c>
      <c r="F89" s="62" t="s">
        <v>195</v>
      </c>
      <c r="G89" s="64">
        <v>60.0</v>
      </c>
      <c r="H89" s="35"/>
      <c r="I89" s="27" t="s">
        <v>200</v>
      </c>
      <c r="J89" s="35"/>
      <c r="K89" s="25"/>
      <c r="L89" s="25"/>
    </row>
    <row r="90">
      <c r="H90" s="65"/>
    </row>
    <row r="91">
      <c r="H91" s="65"/>
    </row>
    <row r="92">
      <c r="H92" s="65"/>
    </row>
    <row r="93">
      <c r="H93" s="65"/>
    </row>
    <row r="94">
      <c r="H94" s="65"/>
    </row>
    <row r="95">
      <c r="H95" s="65"/>
    </row>
    <row r="96">
      <c r="H96" s="65"/>
    </row>
    <row r="97">
      <c r="H97" s="65"/>
    </row>
    <row r="98">
      <c r="H98" s="65"/>
    </row>
    <row r="99">
      <c r="H99" s="65"/>
    </row>
    <row r="100">
      <c r="H100" s="65"/>
    </row>
    <row r="101">
      <c r="H101" s="65"/>
    </row>
    <row r="102">
      <c r="H102" s="65"/>
    </row>
    <row r="103">
      <c r="H103" s="65"/>
    </row>
    <row r="104">
      <c r="H104" s="65"/>
    </row>
    <row r="105">
      <c r="H105" s="65"/>
    </row>
    <row r="106">
      <c r="H106" s="65"/>
    </row>
    <row r="107">
      <c r="H107" s="65"/>
    </row>
    <row r="108">
      <c r="H108" s="65"/>
    </row>
    <row r="109">
      <c r="H109" s="65"/>
    </row>
    <row r="110">
      <c r="H110" s="65"/>
    </row>
    <row r="111">
      <c r="H111" s="65"/>
    </row>
    <row r="112">
      <c r="H112" s="65"/>
    </row>
    <row r="113">
      <c r="H113" s="65"/>
    </row>
    <row r="114">
      <c r="H114" s="65"/>
    </row>
    <row r="115">
      <c r="H115" s="65"/>
    </row>
    <row r="116">
      <c r="H116" s="65"/>
    </row>
    <row r="117">
      <c r="H117" s="65"/>
    </row>
    <row r="118">
      <c r="H118" s="65"/>
    </row>
    <row r="119">
      <c r="H119" s="65"/>
    </row>
    <row r="120">
      <c r="H120" s="65"/>
    </row>
    <row r="121">
      <c r="H121" s="65"/>
    </row>
    <row r="122">
      <c r="H122" s="65"/>
    </row>
    <row r="123">
      <c r="H123" s="65"/>
    </row>
    <row r="124">
      <c r="H124" s="65"/>
    </row>
    <row r="125">
      <c r="H125" s="65"/>
    </row>
    <row r="126">
      <c r="H126" s="65"/>
    </row>
    <row r="127">
      <c r="H127" s="65"/>
    </row>
    <row r="128">
      <c r="H128" s="65"/>
    </row>
    <row r="129">
      <c r="H129" s="65"/>
    </row>
    <row r="130">
      <c r="H130" s="65"/>
    </row>
    <row r="131">
      <c r="H131" s="65"/>
    </row>
    <row r="132">
      <c r="H132" s="65"/>
    </row>
    <row r="133">
      <c r="H133" s="65"/>
    </row>
    <row r="134">
      <c r="H134" s="65"/>
    </row>
    <row r="135">
      <c r="H135" s="65"/>
    </row>
    <row r="136">
      <c r="H136" s="65"/>
    </row>
    <row r="137">
      <c r="H137" s="65"/>
    </row>
    <row r="138">
      <c r="H138" s="65"/>
    </row>
    <row r="139">
      <c r="H139" s="65"/>
    </row>
    <row r="140">
      <c r="H140" s="65"/>
    </row>
    <row r="141">
      <c r="H141" s="65"/>
    </row>
    <row r="142">
      <c r="H142" s="65"/>
    </row>
    <row r="143">
      <c r="H143" s="65"/>
    </row>
    <row r="144">
      <c r="H144" s="65"/>
    </row>
    <row r="145">
      <c r="H145" s="65"/>
    </row>
    <row r="146">
      <c r="H146" s="65"/>
    </row>
    <row r="147">
      <c r="H147" s="65"/>
    </row>
    <row r="148">
      <c r="H148" s="65"/>
    </row>
    <row r="149">
      <c r="H149" s="65"/>
    </row>
    <row r="150">
      <c r="H150" s="65"/>
    </row>
    <row r="151">
      <c r="H151" s="65"/>
    </row>
    <row r="152">
      <c r="H152" s="65"/>
    </row>
    <row r="153">
      <c r="H153" s="65"/>
    </row>
    <row r="154">
      <c r="H154" s="65"/>
    </row>
    <row r="155">
      <c r="H155" s="65"/>
    </row>
    <row r="156">
      <c r="H156" s="65"/>
    </row>
    <row r="157">
      <c r="H157" s="65"/>
    </row>
    <row r="158">
      <c r="H158" s="65"/>
    </row>
    <row r="159">
      <c r="H159" s="65"/>
    </row>
    <row r="160">
      <c r="H160" s="65"/>
    </row>
    <row r="161">
      <c r="H161" s="65"/>
    </row>
    <row r="162">
      <c r="H162" s="65"/>
    </row>
    <row r="163">
      <c r="H163" s="65"/>
    </row>
    <row r="164">
      <c r="H164" s="65"/>
    </row>
    <row r="165">
      <c r="H165" s="65"/>
    </row>
    <row r="166">
      <c r="H166" s="65"/>
    </row>
    <row r="167">
      <c r="H167" s="65"/>
    </row>
    <row r="168">
      <c r="H168" s="65"/>
    </row>
    <row r="169">
      <c r="H169" s="65"/>
    </row>
    <row r="170">
      <c r="H170" s="65"/>
    </row>
    <row r="171">
      <c r="H171" s="65"/>
    </row>
    <row r="172">
      <c r="H172" s="65"/>
    </row>
    <row r="173">
      <c r="H173" s="65"/>
    </row>
    <row r="174">
      <c r="H174" s="65"/>
    </row>
    <row r="175">
      <c r="H175" s="65"/>
    </row>
    <row r="176">
      <c r="H176" s="65"/>
    </row>
    <row r="177">
      <c r="H177" s="65"/>
    </row>
    <row r="178">
      <c r="H178" s="65"/>
    </row>
    <row r="179">
      <c r="H179" s="65"/>
    </row>
    <row r="180">
      <c r="H180" s="65"/>
    </row>
    <row r="181">
      <c r="H181" s="65"/>
    </row>
    <row r="182">
      <c r="H182" s="65"/>
    </row>
    <row r="183">
      <c r="H183" s="65"/>
    </row>
    <row r="184">
      <c r="H184" s="65"/>
    </row>
    <row r="185">
      <c r="H185" s="65"/>
    </row>
    <row r="186">
      <c r="H186" s="65"/>
    </row>
    <row r="187">
      <c r="H187" s="65"/>
    </row>
    <row r="188">
      <c r="H188" s="65"/>
    </row>
    <row r="189">
      <c r="H189" s="65"/>
    </row>
    <row r="190">
      <c r="H190" s="65"/>
    </row>
    <row r="191">
      <c r="H191" s="65"/>
    </row>
    <row r="192">
      <c r="H192" s="65"/>
    </row>
    <row r="193">
      <c r="H193" s="65"/>
    </row>
    <row r="194">
      <c r="H194" s="65"/>
    </row>
    <row r="195">
      <c r="H195" s="65"/>
    </row>
    <row r="196">
      <c r="H196" s="65"/>
    </row>
    <row r="197">
      <c r="H197" s="65"/>
    </row>
    <row r="198">
      <c r="H198" s="65"/>
    </row>
    <row r="199">
      <c r="H199" s="65"/>
    </row>
    <row r="200">
      <c r="H200" s="65"/>
    </row>
    <row r="201">
      <c r="H201" s="65"/>
    </row>
    <row r="202">
      <c r="H202" s="65"/>
    </row>
    <row r="203">
      <c r="H203" s="65"/>
    </row>
    <row r="204">
      <c r="H204" s="65"/>
    </row>
    <row r="205">
      <c r="H205" s="65"/>
    </row>
    <row r="206">
      <c r="H206" s="65"/>
    </row>
    <row r="207">
      <c r="H207" s="65"/>
    </row>
    <row r="208">
      <c r="H208" s="65"/>
    </row>
    <row r="209">
      <c r="H209" s="65"/>
    </row>
    <row r="210">
      <c r="H210" s="65"/>
    </row>
    <row r="211">
      <c r="H211" s="65"/>
    </row>
    <row r="212">
      <c r="H212" s="65"/>
    </row>
    <row r="213">
      <c r="H213" s="65"/>
    </row>
    <row r="214">
      <c r="H214" s="65"/>
    </row>
    <row r="215">
      <c r="H215" s="65"/>
    </row>
    <row r="216">
      <c r="H216" s="65"/>
    </row>
    <row r="217">
      <c r="H217" s="65"/>
    </row>
    <row r="218">
      <c r="H218" s="65"/>
    </row>
    <row r="219">
      <c r="H219" s="65"/>
    </row>
    <row r="220">
      <c r="H220" s="65"/>
    </row>
    <row r="221">
      <c r="H221" s="65"/>
    </row>
    <row r="222">
      <c r="H222" s="65"/>
    </row>
    <row r="223">
      <c r="H223" s="65"/>
    </row>
    <row r="224">
      <c r="H224" s="65"/>
    </row>
    <row r="225">
      <c r="H225" s="65"/>
    </row>
    <row r="226">
      <c r="H226" s="65"/>
    </row>
    <row r="227">
      <c r="H227" s="65"/>
    </row>
    <row r="228">
      <c r="H228" s="65"/>
    </row>
    <row r="229">
      <c r="H229" s="65"/>
    </row>
    <row r="230">
      <c r="H230" s="65"/>
    </row>
    <row r="231">
      <c r="H231" s="65"/>
    </row>
    <row r="232">
      <c r="H232" s="65"/>
    </row>
    <row r="233">
      <c r="H233" s="65"/>
    </row>
    <row r="234">
      <c r="H234" s="65"/>
    </row>
    <row r="235">
      <c r="H235" s="65"/>
    </row>
    <row r="236">
      <c r="H236" s="65"/>
    </row>
    <row r="237">
      <c r="H237" s="65"/>
    </row>
    <row r="238">
      <c r="H238" s="65"/>
    </row>
    <row r="239">
      <c r="H239" s="65"/>
    </row>
    <row r="240">
      <c r="H240" s="65"/>
    </row>
    <row r="241">
      <c r="H241" s="65"/>
    </row>
    <row r="242">
      <c r="H242" s="65"/>
    </row>
    <row r="243">
      <c r="H243" s="65"/>
    </row>
    <row r="244">
      <c r="H244" s="65"/>
    </row>
    <row r="245">
      <c r="H245" s="65"/>
    </row>
    <row r="246">
      <c r="H246" s="65"/>
    </row>
    <row r="247">
      <c r="H247" s="65"/>
    </row>
    <row r="248">
      <c r="H248" s="65"/>
    </row>
    <row r="249">
      <c r="H249" s="65"/>
    </row>
    <row r="250">
      <c r="H250" s="65"/>
    </row>
    <row r="251">
      <c r="H251" s="65"/>
    </row>
    <row r="252">
      <c r="H252" s="65"/>
    </row>
    <row r="253">
      <c r="H253" s="65"/>
    </row>
    <row r="254">
      <c r="H254" s="65"/>
    </row>
    <row r="255">
      <c r="H255" s="65"/>
    </row>
    <row r="256">
      <c r="H256" s="65"/>
    </row>
    <row r="257">
      <c r="H257" s="65"/>
    </row>
    <row r="258">
      <c r="H258" s="65"/>
    </row>
    <row r="259">
      <c r="H259" s="65"/>
    </row>
    <row r="260">
      <c r="H260" s="65"/>
    </row>
    <row r="261">
      <c r="H261" s="65"/>
    </row>
    <row r="262">
      <c r="H262" s="65"/>
    </row>
    <row r="263">
      <c r="H263" s="65"/>
    </row>
    <row r="264">
      <c r="H264" s="65"/>
    </row>
    <row r="265">
      <c r="H265" s="65"/>
    </row>
    <row r="266">
      <c r="H266" s="65"/>
    </row>
    <row r="267">
      <c r="H267" s="65"/>
    </row>
    <row r="268">
      <c r="H268" s="65"/>
    </row>
    <row r="269">
      <c r="H269" s="65"/>
    </row>
    <row r="270">
      <c r="H270" s="65"/>
    </row>
    <row r="271">
      <c r="H271" s="65"/>
    </row>
    <row r="272">
      <c r="H272" s="65"/>
    </row>
    <row r="273">
      <c r="H273" s="65"/>
    </row>
    <row r="274">
      <c r="H274" s="65"/>
    </row>
    <row r="275">
      <c r="H275" s="65"/>
    </row>
    <row r="276">
      <c r="H276" s="65"/>
    </row>
    <row r="277">
      <c r="H277" s="65"/>
    </row>
    <row r="278">
      <c r="H278" s="65"/>
    </row>
    <row r="279">
      <c r="H279" s="65"/>
    </row>
    <row r="280">
      <c r="H280" s="65"/>
    </row>
    <row r="281">
      <c r="H281" s="65"/>
    </row>
    <row r="282">
      <c r="H282" s="65"/>
    </row>
    <row r="283">
      <c r="H283" s="65"/>
    </row>
    <row r="284">
      <c r="H284" s="65"/>
    </row>
    <row r="285">
      <c r="H285" s="65"/>
    </row>
    <row r="286">
      <c r="H286" s="65"/>
    </row>
    <row r="287">
      <c r="H287" s="65"/>
    </row>
    <row r="288">
      <c r="H288" s="65"/>
    </row>
    <row r="289">
      <c r="H289" s="65"/>
    </row>
    <row r="290">
      <c r="H290" s="65"/>
    </row>
    <row r="291">
      <c r="H291" s="65"/>
    </row>
    <row r="292">
      <c r="H292" s="65"/>
    </row>
    <row r="293">
      <c r="H293" s="65"/>
    </row>
    <row r="294">
      <c r="H294" s="65"/>
    </row>
    <row r="295">
      <c r="H295" s="65"/>
    </row>
    <row r="296">
      <c r="H296" s="65"/>
    </row>
    <row r="297">
      <c r="H297" s="65"/>
    </row>
    <row r="298">
      <c r="H298" s="65"/>
    </row>
    <row r="299">
      <c r="H299" s="65"/>
    </row>
    <row r="300">
      <c r="H300" s="65"/>
    </row>
    <row r="301">
      <c r="H301" s="65"/>
    </row>
    <row r="302">
      <c r="H302" s="65"/>
    </row>
    <row r="303">
      <c r="H303" s="65"/>
    </row>
    <row r="304">
      <c r="H304" s="65"/>
    </row>
    <row r="305">
      <c r="H305" s="65"/>
    </row>
    <row r="306">
      <c r="H306" s="65"/>
    </row>
    <row r="307">
      <c r="H307" s="65"/>
    </row>
    <row r="308">
      <c r="H308" s="65"/>
    </row>
    <row r="309">
      <c r="H309" s="65"/>
    </row>
    <row r="310">
      <c r="H310" s="65"/>
    </row>
    <row r="311">
      <c r="H311" s="65"/>
    </row>
    <row r="312">
      <c r="H312" s="65"/>
    </row>
    <row r="313">
      <c r="H313" s="65"/>
    </row>
    <row r="314">
      <c r="H314" s="65"/>
    </row>
    <row r="315">
      <c r="H315" s="65"/>
    </row>
    <row r="316">
      <c r="H316" s="65"/>
    </row>
    <row r="317">
      <c r="H317" s="65"/>
    </row>
    <row r="318">
      <c r="H318" s="65"/>
    </row>
    <row r="319">
      <c r="H319" s="65"/>
    </row>
    <row r="320">
      <c r="H320" s="65"/>
    </row>
    <row r="321">
      <c r="H321" s="65"/>
    </row>
    <row r="322">
      <c r="H322" s="65"/>
    </row>
    <row r="323">
      <c r="H323" s="65"/>
    </row>
    <row r="324">
      <c r="H324" s="65"/>
    </row>
    <row r="325">
      <c r="H325" s="65"/>
    </row>
    <row r="326">
      <c r="H326" s="65"/>
    </row>
    <row r="327">
      <c r="H327" s="65"/>
    </row>
    <row r="328">
      <c r="H328" s="65"/>
    </row>
    <row r="329">
      <c r="H329" s="65"/>
    </row>
    <row r="330">
      <c r="H330" s="65"/>
    </row>
    <row r="331">
      <c r="H331" s="65"/>
    </row>
    <row r="332">
      <c r="H332" s="65"/>
    </row>
    <row r="333">
      <c r="H333" s="65"/>
    </row>
    <row r="334">
      <c r="H334" s="65"/>
    </row>
    <row r="335">
      <c r="H335" s="65"/>
    </row>
    <row r="336">
      <c r="H336" s="65"/>
    </row>
    <row r="337">
      <c r="H337" s="65"/>
    </row>
    <row r="338">
      <c r="H338" s="65"/>
    </row>
    <row r="339">
      <c r="H339" s="65"/>
    </row>
    <row r="340">
      <c r="H340" s="65"/>
    </row>
    <row r="341">
      <c r="H341" s="65"/>
    </row>
    <row r="342">
      <c r="H342" s="65"/>
    </row>
    <row r="343">
      <c r="H343" s="65"/>
    </row>
    <row r="344">
      <c r="H344" s="65"/>
    </row>
    <row r="345">
      <c r="H345" s="65"/>
    </row>
    <row r="346">
      <c r="H346" s="65"/>
    </row>
    <row r="347">
      <c r="H347" s="65"/>
    </row>
    <row r="348">
      <c r="H348" s="65"/>
    </row>
    <row r="349">
      <c r="H349" s="65"/>
    </row>
    <row r="350">
      <c r="H350" s="65"/>
    </row>
    <row r="351">
      <c r="H351" s="65"/>
    </row>
    <row r="352">
      <c r="H352" s="65"/>
    </row>
    <row r="353">
      <c r="H353" s="65"/>
    </row>
    <row r="354">
      <c r="H354" s="65"/>
    </row>
    <row r="355">
      <c r="H355" s="65"/>
    </row>
    <row r="356">
      <c r="H356" s="65"/>
    </row>
    <row r="357">
      <c r="H357" s="65"/>
    </row>
    <row r="358">
      <c r="H358" s="65"/>
    </row>
    <row r="359">
      <c r="H359" s="65"/>
    </row>
    <row r="360">
      <c r="H360" s="65"/>
    </row>
    <row r="361">
      <c r="H361" s="65"/>
    </row>
    <row r="362">
      <c r="H362" s="65"/>
    </row>
    <row r="363">
      <c r="H363" s="65"/>
    </row>
    <row r="364">
      <c r="H364" s="65"/>
    </row>
    <row r="365">
      <c r="H365" s="65"/>
    </row>
    <row r="366">
      <c r="H366" s="65"/>
    </row>
    <row r="367">
      <c r="H367" s="65"/>
    </row>
    <row r="368">
      <c r="H368" s="65"/>
    </row>
    <row r="369">
      <c r="H369" s="65"/>
    </row>
    <row r="370">
      <c r="H370" s="65"/>
    </row>
    <row r="371">
      <c r="H371" s="65"/>
    </row>
    <row r="372">
      <c r="H372" s="65"/>
    </row>
    <row r="373">
      <c r="H373" s="65"/>
    </row>
    <row r="374">
      <c r="H374" s="65"/>
    </row>
    <row r="375">
      <c r="H375" s="65"/>
    </row>
    <row r="376">
      <c r="H376" s="65"/>
    </row>
    <row r="377">
      <c r="H377" s="65"/>
    </row>
    <row r="378">
      <c r="H378" s="65"/>
    </row>
    <row r="379">
      <c r="H379" s="65"/>
    </row>
    <row r="380">
      <c r="H380" s="65"/>
    </row>
    <row r="381">
      <c r="H381" s="65"/>
    </row>
    <row r="382">
      <c r="H382" s="65"/>
    </row>
    <row r="383">
      <c r="H383" s="65"/>
    </row>
    <row r="384">
      <c r="H384" s="65"/>
    </row>
    <row r="385">
      <c r="H385" s="65"/>
    </row>
    <row r="386">
      <c r="H386" s="65"/>
    </row>
    <row r="387">
      <c r="H387" s="65"/>
    </row>
    <row r="388">
      <c r="H388" s="65"/>
    </row>
    <row r="389">
      <c r="H389" s="65"/>
    </row>
    <row r="390">
      <c r="H390" s="65"/>
    </row>
    <row r="391">
      <c r="H391" s="65"/>
    </row>
    <row r="392">
      <c r="H392" s="65"/>
    </row>
    <row r="393">
      <c r="H393" s="65"/>
    </row>
    <row r="394">
      <c r="H394" s="65"/>
    </row>
    <row r="395">
      <c r="H395" s="65"/>
    </row>
    <row r="396">
      <c r="H396" s="65"/>
    </row>
    <row r="397">
      <c r="H397" s="65"/>
    </row>
    <row r="398">
      <c r="H398" s="65"/>
    </row>
    <row r="399">
      <c r="H399" s="65"/>
    </row>
    <row r="400">
      <c r="H400" s="65"/>
    </row>
    <row r="401">
      <c r="H401" s="65"/>
    </row>
    <row r="402">
      <c r="H402" s="65"/>
    </row>
    <row r="403">
      <c r="H403" s="65"/>
    </row>
    <row r="404">
      <c r="H404" s="65"/>
    </row>
    <row r="405">
      <c r="H405" s="65"/>
    </row>
    <row r="406">
      <c r="H406" s="65"/>
    </row>
    <row r="407">
      <c r="H407" s="65"/>
    </row>
    <row r="408">
      <c r="H408" s="65"/>
    </row>
    <row r="409">
      <c r="H409" s="65"/>
    </row>
    <row r="410">
      <c r="H410" s="65"/>
    </row>
    <row r="411">
      <c r="H411" s="65"/>
    </row>
    <row r="412">
      <c r="H412" s="65"/>
    </row>
    <row r="413">
      <c r="H413" s="65"/>
    </row>
    <row r="414">
      <c r="H414" s="65"/>
    </row>
    <row r="415">
      <c r="H415" s="65"/>
    </row>
    <row r="416">
      <c r="H416" s="65"/>
    </row>
    <row r="417">
      <c r="H417" s="65"/>
    </row>
    <row r="418">
      <c r="H418" s="65"/>
    </row>
    <row r="419">
      <c r="H419" s="65"/>
    </row>
    <row r="420">
      <c r="H420" s="65"/>
    </row>
    <row r="421">
      <c r="H421" s="65"/>
    </row>
    <row r="422">
      <c r="H422" s="65"/>
    </row>
    <row r="423">
      <c r="H423" s="65"/>
    </row>
    <row r="424">
      <c r="H424" s="65"/>
    </row>
    <row r="425">
      <c r="H425" s="65"/>
    </row>
    <row r="426">
      <c r="H426" s="65"/>
    </row>
    <row r="427">
      <c r="H427" s="65"/>
    </row>
    <row r="428">
      <c r="H428" s="65"/>
    </row>
    <row r="429">
      <c r="H429" s="65"/>
    </row>
    <row r="430">
      <c r="H430" s="65"/>
    </row>
    <row r="431">
      <c r="H431" s="65"/>
    </row>
    <row r="432">
      <c r="H432" s="65"/>
    </row>
    <row r="433">
      <c r="H433" s="65"/>
    </row>
    <row r="434">
      <c r="H434" s="65"/>
    </row>
    <row r="435">
      <c r="H435" s="65"/>
    </row>
    <row r="436">
      <c r="H436" s="65"/>
    </row>
    <row r="437">
      <c r="H437" s="65"/>
    </row>
    <row r="438">
      <c r="H438" s="65"/>
    </row>
    <row r="439">
      <c r="H439" s="65"/>
    </row>
    <row r="440">
      <c r="H440" s="65"/>
    </row>
    <row r="441">
      <c r="H441" s="65"/>
    </row>
    <row r="442">
      <c r="H442" s="65"/>
    </row>
    <row r="443">
      <c r="H443" s="65"/>
    </row>
    <row r="444">
      <c r="H444" s="65"/>
    </row>
    <row r="445">
      <c r="H445" s="65"/>
    </row>
    <row r="446">
      <c r="H446" s="65"/>
    </row>
    <row r="447">
      <c r="H447" s="65"/>
    </row>
    <row r="448">
      <c r="H448" s="65"/>
    </row>
    <row r="449">
      <c r="H449" s="65"/>
    </row>
    <row r="450">
      <c r="H450" s="65"/>
    </row>
    <row r="451">
      <c r="H451" s="65"/>
    </row>
    <row r="452">
      <c r="H452" s="65"/>
    </row>
    <row r="453">
      <c r="H453" s="65"/>
    </row>
    <row r="454">
      <c r="H454" s="65"/>
    </row>
    <row r="455">
      <c r="H455" s="65"/>
    </row>
    <row r="456">
      <c r="H456" s="65"/>
    </row>
    <row r="457">
      <c r="H457" s="65"/>
    </row>
    <row r="458">
      <c r="H458" s="65"/>
    </row>
    <row r="459">
      <c r="H459" s="65"/>
    </row>
    <row r="460">
      <c r="H460" s="65"/>
    </row>
    <row r="461">
      <c r="H461" s="65"/>
    </row>
    <row r="462">
      <c r="H462" s="65"/>
    </row>
    <row r="463">
      <c r="H463" s="65"/>
    </row>
    <row r="464">
      <c r="H464" s="65"/>
    </row>
    <row r="465">
      <c r="H465" s="65"/>
    </row>
    <row r="466">
      <c r="H466" s="65"/>
    </row>
    <row r="467">
      <c r="H467" s="65"/>
    </row>
    <row r="468">
      <c r="H468" s="65"/>
    </row>
    <row r="469">
      <c r="H469" s="65"/>
    </row>
    <row r="470">
      <c r="H470" s="65"/>
    </row>
    <row r="471">
      <c r="H471" s="65"/>
    </row>
    <row r="472">
      <c r="H472" s="65"/>
    </row>
    <row r="473">
      <c r="H473" s="65"/>
    </row>
    <row r="474">
      <c r="H474" s="65"/>
    </row>
    <row r="475">
      <c r="H475" s="65"/>
    </row>
    <row r="476">
      <c r="H476" s="65"/>
    </row>
    <row r="477">
      <c r="H477" s="65"/>
    </row>
    <row r="478">
      <c r="H478" s="65"/>
    </row>
    <row r="479">
      <c r="H479" s="65"/>
    </row>
    <row r="480">
      <c r="H480" s="65"/>
    </row>
    <row r="481">
      <c r="H481" s="65"/>
    </row>
    <row r="482">
      <c r="H482" s="65"/>
    </row>
    <row r="483">
      <c r="H483" s="65"/>
    </row>
    <row r="484">
      <c r="H484" s="65"/>
    </row>
    <row r="485">
      <c r="H485" s="65"/>
    </row>
    <row r="486">
      <c r="H486" s="65"/>
    </row>
    <row r="487">
      <c r="H487" s="65"/>
    </row>
    <row r="488">
      <c r="H488" s="65"/>
    </row>
    <row r="489">
      <c r="H489" s="65"/>
    </row>
    <row r="490">
      <c r="H490" s="65"/>
    </row>
    <row r="491">
      <c r="H491" s="65"/>
    </row>
    <row r="492">
      <c r="H492" s="65"/>
    </row>
    <row r="493">
      <c r="H493" s="65"/>
    </row>
    <row r="494">
      <c r="H494" s="65"/>
    </row>
    <row r="495">
      <c r="H495" s="65"/>
    </row>
    <row r="496">
      <c r="H496" s="65"/>
    </row>
    <row r="497">
      <c r="H497" s="65"/>
    </row>
    <row r="498">
      <c r="H498" s="65"/>
    </row>
    <row r="499">
      <c r="H499" s="65"/>
    </row>
    <row r="500">
      <c r="H500" s="65"/>
    </row>
    <row r="501">
      <c r="H501" s="65"/>
    </row>
    <row r="502">
      <c r="H502" s="65"/>
    </row>
    <row r="503">
      <c r="H503" s="65"/>
    </row>
    <row r="504">
      <c r="H504" s="65"/>
    </row>
    <row r="505">
      <c r="H505" s="65"/>
    </row>
    <row r="506">
      <c r="H506" s="65"/>
    </row>
    <row r="507">
      <c r="H507" s="65"/>
    </row>
    <row r="508">
      <c r="H508" s="65"/>
    </row>
    <row r="509">
      <c r="H509" s="65"/>
    </row>
    <row r="510">
      <c r="H510" s="65"/>
    </row>
    <row r="511">
      <c r="H511" s="65"/>
    </row>
    <row r="512">
      <c r="H512" s="65"/>
    </row>
    <row r="513">
      <c r="H513" s="65"/>
    </row>
    <row r="514">
      <c r="H514" s="65"/>
    </row>
    <row r="515">
      <c r="H515" s="65"/>
    </row>
    <row r="516">
      <c r="H516" s="65"/>
    </row>
    <row r="517">
      <c r="H517" s="65"/>
    </row>
    <row r="518">
      <c r="H518" s="65"/>
    </row>
    <row r="519">
      <c r="H519" s="65"/>
    </row>
    <row r="520">
      <c r="H520" s="65"/>
    </row>
    <row r="521">
      <c r="H521" s="65"/>
    </row>
    <row r="522">
      <c r="H522" s="65"/>
    </row>
    <row r="523">
      <c r="H523" s="65"/>
    </row>
    <row r="524">
      <c r="H524" s="65"/>
    </row>
    <row r="525">
      <c r="H525" s="65"/>
    </row>
    <row r="526">
      <c r="H526" s="65"/>
    </row>
    <row r="527">
      <c r="H527" s="65"/>
    </row>
    <row r="528">
      <c r="H528" s="65"/>
    </row>
    <row r="529">
      <c r="H529" s="65"/>
    </row>
    <row r="530">
      <c r="H530" s="65"/>
    </row>
    <row r="531">
      <c r="H531" s="65"/>
    </row>
    <row r="532">
      <c r="H532" s="65"/>
    </row>
    <row r="533">
      <c r="H533" s="65"/>
    </row>
    <row r="534">
      <c r="H534" s="65"/>
    </row>
    <row r="535">
      <c r="H535" s="65"/>
    </row>
    <row r="536">
      <c r="H536" s="65"/>
    </row>
    <row r="537">
      <c r="H537" s="65"/>
    </row>
    <row r="538">
      <c r="H538" s="65"/>
    </row>
    <row r="539">
      <c r="H539" s="65"/>
    </row>
    <row r="540">
      <c r="H540" s="65"/>
    </row>
    <row r="541">
      <c r="H541" s="65"/>
    </row>
    <row r="542">
      <c r="H542" s="65"/>
    </row>
    <row r="543">
      <c r="H543" s="65"/>
    </row>
    <row r="544">
      <c r="H544" s="65"/>
    </row>
    <row r="545">
      <c r="H545" s="65"/>
    </row>
    <row r="546">
      <c r="H546" s="65"/>
    </row>
    <row r="547">
      <c r="H547" s="65"/>
    </row>
    <row r="548">
      <c r="H548" s="65"/>
    </row>
    <row r="549">
      <c r="H549" s="65"/>
    </row>
    <row r="550">
      <c r="H550" s="65"/>
    </row>
    <row r="551">
      <c r="H551" s="65"/>
    </row>
    <row r="552">
      <c r="H552" s="65"/>
    </row>
    <row r="553">
      <c r="H553" s="65"/>
    </row>
    <row r="554">
      <c r="H554" s="65"/>
    </row>
    <row r="555">
      <c r="H555" s="65"/>
    </row>
    <row r="556">
      <c r="H556" s="65"/>
    </row>
    <row r="557">
      <c r="H557" s="65"/>
    </row>
    <row r="558">
      <c r="H558" s="65"/>
    </row>
    <row r="559">
      <c r="H559" s="65"/>
    </row>
    <row r="560">
      <c r="H560" s="65"/>
    </row>
    <row r="561">
      <c r="H561" s="65"/>
    </row>
    <row r="562">
      <c r="H562" s="65"/>
    </row>
    <row r="563">
      <c r="H563" s="65"/>
    </row>
    <row r="564">
      <c r="H564" s="65"/>
    </row>
    <row r="565">
      <c r="H565" s="65"/>
    </row>
    <row r="566">
      <c r="H566" s="65"/>
    </row>
    <row r="567">
      <c r="H567" s="65"/>
    </row>
    <row r="568">
      <c r="H568" s="65"/>
    </row>
    <row r="569">
      <c r="H569" s="65"/>
    </row>
    <row r="570">
      <c r="H570" s="65"/>
    </row>
    <row r="571">
      <c r="H571" s="65"/>
    </row>
    <row r="572">
      <c r="H572" s="65"/>
    </row>
    <row r="573">
      <c r="H573" s="65"/>
    </row>
    <row r="574">
      <c r="H574" s="65"/>
    </row>
    <row r="575">
      <c r="H575" s="65"/>
    </row>
    <row r="576">
      <c r="H576" s="65"/>
    </row>
    <row r="577">
      <c r="H577" s="65"/>
    </row>
    <row r="578">
      <c r="H578" s="65"/>
    </row>
    <row r="579">
      <c r="H579" s="65"/>
    </row>
    <row r="580">
      <c r="H580" s="65"/>
    </row>
    <row r="581">
      <c r="H581" s="65"/>
    </row>
    <row r="582">
      <c r="H582" s="65"/>
    </row>
    <row r="583">
      <c r="H583" s="65"/>
    </row>
    <row r="584">
      <c r="H584" s="65"/>
    </row>
    <row r="585">
      <c r="H585" s="65"/>
    </row>
    <row r="586">
      <c r="H586" s="65"/>
    </row>
    <row r="587">
      <c r="H587" s="65"/>
    </row>
    <row r="588">
      <c r="H588" s="65"/>
    </row>
    <row r="589">
      <c r="H589" s="65"/>
    </row>
    <row r="590">
      <c r="H590" s="65"/>
    </row>
    <row r="591">
      <c r="H591" s="65"/>
    </row>
    <row r="592">
      <c r="H592" s="65"/>
    </row>
    <row r="593">
      <c r="H593" s="65"/>
    </row>
    <row r="594">
      <c r="H594" s="65"/>
    </row>
    <row r="595">
      <c r="H595" s="65"/>
    </row>
    <row r="596">
      <c r="H596" s="65"/>
    </row>
    <row r="597">
      <c r="H597" s="65"/>
    </row>
    <row r="598">
      <c r="H598" s="65"/>
    </row>
    <row r="599">
      <c r="H599" s="65"/>
    </row>
    <row r="600">
      <c r="H600" s="65"/>
    </row>
    <row r="601">
      <c r="H601" s="65"/>
    </row>
    <row r="602">
      <c r="H602" s="65"/>
    </row>
    <row r="603">
      <c r="H603" s="65"/>
    </row>
    <row r="604">
      <c r="H604" s="65"/>
    </row>
    <row r="605">
      <c r="H605" s="65"/>
    </row>
    <row r="606">
      <c r="H606" s="65"/>
    </row>
    <row r="607">
      <c r="H607" s="65"/>
    </row>
    <row r="608">
      <c r="H608" s="65"/>
    </row>
    <row r="609">
      <c r="H609" s="65"/>
    </row>
    <row r="610">
      <c r="H610" s="65"/>
    </row>
    <row r="611">
      <c r="H611" s="65"/>
    </row>
    <row r="612">
      <c r="H612" s="65"/>
    </row>
    <row r="613">
      <c r="H613" s="65"/>
    </row>
    <row r="614">
      <c r="H614" s="65"/>
    </row>
    <row r="615">
      <c r="H615" s="65"/>
    </row>
    <row r="616">
      <c r="H616" s="65"/>
    </row>
    <row r="617">
      <c r="H617" s="65"/>
    </row>
    <row r="618">
      <c r="H618" s="65"/>
    </row>
    <row r="619">
      <c r="H619" s="65"/>
    </row>
    <row r="620">
      <c r="H620" s="65"/>
    </row>
    <row r="621">
      <c r="H621" s="65"/>
    </row>
    <row r="622">
      <c r="H622" s="65"/>
    </row>
    <row r="623">
      <c r="H623" s="65"/>
    </row>
    <row r="624">
      <c r="H624" s="65"/>
    </row>
    <row r="625">
      <c r="H625" s="65"/>
    </row>
    <row r="626">
      <c r="H626" s="65"/>
    </row>
    <row r="627">
      <c r="H627" s="65"/>
    </row>
    <row r="628">
      <c r="H628" s="65"/>
    </row>
    <row r="629">
      <c r="H629" s="65"/>
    </row>
    <row r="630">
      <c r="H630" s="65"/>
    </row>
    <row r="631">
      <c r="H631" s="65"/>
    </row>
    <row r="632">
      <c r="H632" s="65"/>
    </row>
    <row r="633">
      <c r="H633" s="65"/>
    </row>
    <row r="634">
      <c r="H634" s="65"/>
    </row>
    <row r="635">
      <c r="H635" s="65"/>
    </row>
    <row r="636">
      <c r="H636" s="65"/>
    </row>
    <row r="637">
      <c r="H637" s="65"/>
    </row>
    <row r="638">
      <c r="H638" s="65"/>
    </row>
    <row r="639">
      <c r="H639" s="65"/>
    </row>
    <row r="640">
      <c r="H640" s="65"/>
    </row>
    <row r="641">
      <c r="H641" s="65"/>
    </row>
    <row r="642">
      <c r="H642" s="65"/>
    </row>
    <row r="643">
      <c r="H643" s="65"/>
    </row>
    <row r="644">
      <c r="H644" s="65"/>
    </row>
    <row r="645">
      <c r="H645" s="65"/>
    </row>
    <row r="646">
      <c r="H646" s="65"/>
    </row>
    <row r="647">
      <c r="H647" s="65"/>
    </row>
    <row r="648">
      <c r="H648" s="65"/>
    </row>
    <row r="649">
      <c r="H649" s="65"/>
    </row>
    <row r="650">
      <c r="H650" s="65"/>
    </row>
    <row r="651">
      <c r="H651" s="65"/>
    </row>
    <row r="652">
      <c r="H652" s="65"/>
    </row>
    <row r="653">
      <c r="H653" s="65"/>
    </row>
    <row r="654">
      <c r="H654" s="65"/>
    </row>
    <row r="655">
      <c r="H655" s="65"/>
    </row>
    <row r="656">
      <c r="H656" s="65"/>
    </row>
    <row r="657">
      <c r="H657" s="65"/>
    </row>
    <row r="658">
      <c r="H658" s="65"/>
    </row>
    <row r="659">
      <c r="H659" s="65"/>
    </row>
    <row r="660">
      <c r="H660" s="65"/>
    </row>
    <row r="661">
      <c r="H661" s="65"/>
    </row>
    <row r="662">
      <c r="H662" s="65"/>
    </row>
    <row r="663">
      <c r="H663" s="65"/>
    </row>
    <row r="664">
      <c r="H664" s="65"/>
    </row>
    <row r="665">
      <c r="H665" s="65"/>
    </row>
    <row r="666">
      <c r="H666" s="65"/>
    </row>
    <row r="667">
      <c r="H667" s="65"/>
    </row>
    <row r="668">
      <c r="H668" s="65"/>
    </row>
    <row r="669">
      <c r="H669" s="65"/>
    </row>
    <row r="670">
      <c r="H670" s="65"/>
    </row>
    <row r="671">
      <c r="H671" s="65"/>
    </row>
    <row r="672">
      <c r="H672" s="65"/>
    </row>
    <row r="673">
      <c r="H673" s="65"/>
    </row>
    <row r="674">
      <c r="H674" s="65"/>
    </row>
    <row r="675">
      <c r="H675" s="65"/>
    </row>
    <row r="676">
      <c r="H676" s="65"/>
    </row>
    <row r="677">
      <c r="H677" s="65"/>
    </row>
    <row r="678">
      <c r="H678" s="65"/>
    </row>
    <row r="679">
      <c r="H679" s="65"/>
    </row>
    <row r="680">
      <c r="H680" s="65"/>
    </row>
    <row r="681">
      <c r="H681" s="65"/>
    </row>
    <row r="682">
      <c r="H682" s="65"/>
    </row>
    <row r="683">
      <c r="H683" s="65"/>
    </row>
    <row r="684">
      <c r="H684" s="65"/>
    </row>
    <row r="685">
      <c r="H685" s="65"/>
    </row>
    <row r="686">
      <c r="H686" s="65"/>
    </row>
    <row r="687">
      <c r="H687" s="65"/>
    </row>
    <row r="688">
      <c r="H688" s="65"/>
    </row>
    <row r="689">
      <c r="H689" s="65"/>
    </row>
    <row r="690">
      <c r="H690" s="65"/>
    </row>
    <row r="691">
      <c r="H691" s="65"/>
    </row>
    <row r="692">
      <c r="H692" s="65"/>
    </row>
    <row r="693">
      <c r="H693" s="65"/>
    </row>
    <row r="694">
      <c r="H694" s="65"/>
    </row>
    <row r="695">
      <c r="H695" s="65"/>
    </row>
    <row r="696">
      <c r="H696" s="65"/>
    </row>
    <row r="697">
      <c r="H697" s="65"/>
    </row>
    <row r="698">
      <c r="H698" s="65"/>
    </row>
    <row r="699">
      <c r="H699" s="65"/>
    </row>
    <row r="700">
      <c r="H700" s="65"/>
    </row>
    <row r="701">
      <c r="H701" s="65"/>
    </row>
    <row r="702">
      <c r="H702" s="65"/>
    </row>
    <row r="703">
      <c r="H703" s="65"/>
    </row>
    <row r="704">
      <c r="H704" s="65"/>
    </row>
    <row r="705">
      <c r="H705" s="65"/>
    </row>
    <row r="706">
      <c r="H706" s="65"/>
    </row>
    <row r="707">
      <c r="H707" s="65"/>
    </row>
    <row r="708">
      <c r="H708" s="65"/>
    </row>
    <row r="709">
      <c r="H709" s="65"/>
    </row>
    <row r="710">
      <c r="H710" s="65"/>
    </row>
    <row r="711">
      <c r="H711" s="65"/>
    </row>
    <row r="712">
      <c r="H712" s="65"/>
    </row>
    <row r="713">
      <c r="H713" s="65"/>
    </row>
    <row r="714">
      <c r="H714" s="65"/>
    </row>
    <row r="715">
      <c r="H715" s="65"/>
    </row>
    <row r="716">
      <c r="H716" s="65"/>
    </row>
    <row r="717">
      <c r="H717" s="65"/>
    </row>
    <row r="718">
      <c r="H718" s="65"/>
    </row>
    <row r="719">
      <c r="H719" s="65"/>
    </row>
    <row r="720">
      <c r="H720" s="65"/>
    </row>
    <row r="721">
      <c r="H721" s="65"/>
    </row>
    <row r="722">
      <c r="H722" s="65"/>
    </row>
    <row r="723">
      <c r="H723" s="65"/>
    </row>
    <row r="724">
      <c r="H724" s="65"/>
    </row>
    <row r="725">
      <c r="H725" s="65"/>
    </row>
    <row r="726">
      <c r="H726" s="65"/>
    </row>
    <row r="727">
      <c r="H727" s="65"/>
    </row>
    <row r="728">
      <c r="H728" s="65"/>
    </row>
    <row r="729">
      <c r="H729" s="65"/>
    </row>
    <row r="730">
      <c r="H730" s="65"/>
    </row>
    <row r="731">
      <c r="H731" s="65"/>
    </row>
    <row r="732">
      <c r="H732" s="65"/>
    </row>
    <row r="733">
      <c r="H733" s="65"/>
    </row>
    <row r="734">
      <c r="H734" s="65"/>
    </row>
    <row r="735">
      <c r="H735" s="65"/>
    </row>
    <row r="736">
      <c r="H736" s="65"/>
    </row>
    <row r="737">
      <c r="H737" s="65"/>
    </row>
    <row r="738">
      <c r="H738" s="65"/>
    </row>
    <row r="739">
      <c r="H739" s="65"/>
    </row>
    <row r="740">
      <c r="H740" s="65"/>
    </row>
    <row r="741">
      <c r="H741" s="65"/>
    </row>
    <row r="742">
      <c r="H742" s="65"/>
    </row>
    <row r="743">
      <c r="H743" s="65"/>
    </row>
    <row r="744">
      <c r="H744" s="65"/>
    </row>
    <row r="745">
      <c r="H745" s="65"/>
    </row>
    <row r="746">
      <c r="H746" s="65"/>
    </row>
    <row r="747">
      <c r="H747" s="65"/>
    </row>
    <row r="748">
      <c r="H748" s="65"/>
    </row>
    <row r="749">
      <c r="H749" s="65"/>
    </row>
    <row r="750">
      <c r="H750" s="65"/>
    </row>
    <row r="751">
      <c r="H751" s="65"/>
    </row>
    <row r="752">
      <c r="H752" s="65"/>
    </row>
    <row r="753">
      <c r="H753" s="65"/>
    </row>
    <row r="754">
      <c r="H754" s="65"/>
    </row>
    <row r="755">
      <c r="H755" s="65"/>
    </row>
    <row r="756">
      <c r="H756" s="65"/>
    </row>
    <row r="757">
      <c r="H757" s="65"/>
    </row>
    <row r="758">
      <c r="H758" s="65"/>
    </row>
    <row r="759">
      <c r="H759" s="65"/>
    </row>
    <row r="760">
      <c r="H760" s="65"/>
    </row>
    <row r="761">
      <c r="H761" s="65"/>
    </row>
    <row r="762">
      <c r="H762" s="65"/>
    </row>
    <row r="763">
      <c r="H763" s="65"/>
    </row>
    <row r="764">
      <c r="H764" s="65"/>
    </row>
    <row r="765">
      <c r="H765" s="65"/>
    </row>
    <row r="766">
      <c r="H766" s="65"/>
    </row>
    <row r="767">
      <c r="H767" s="65"/>
    </row>
    <row r="768">
      <c r="H768" s="65"/>
    </row>
    <row r="769">
      <c r="H769" s="65"/>
    </row>
    <row r="770">
      <c r="H770" s="65"/>
    </row>
    <row r="771">
      <c r="H771" s="65"/>
    </row>
    <row r="772">
      <c r="H772" s="65"/>
    </row>
    <row r="773">
      <c r="H773" s="65"/>
    </row>
    <row r="774">
      <c r="H774" s="65"/>
    </row>
    <row r="775">
      <c r="H775" s="65"/>
    </row>
    <row r="776">
      <c r="H776" s="65"/>
    </row>
    <row r="777">
      <c r="H777" s="65"/>
    </row>
    <row r="778">
      <c r="H778" s="65"/>
    </row>
    <row r="779">
      <c r="H779" s="65"/>
    </row>
    <row r="780">
      <c r="H780" s="65"/>
    </row>
    <row r="781">
      <c r="H781" s="65"/>
    </row>
    <row r="782">
      <c r="H782" s="65"/>
    </row>
    <row r="783">
      <c r="H783" s="65"/>
    </row>
    <row r="784">
      <c r="H784" s="65"/>
    </row>
    <row r="785">
      <c r="H785" s="65"/>
    </row>
    <row r="786">
      <c r="H786" s="65"/>
    </row>
    <row r="787">
      <c r="H787" s="65"/>
    </row>
    <row r="788">
      <c r="H788" s="65"/>
    </row>
    <row r="789">
      <c r="H789" s="65"/>
    </row>
    <row r="790">
      <c r="H790" s="65"/>
    </row>
    <row r="791">
      <c r="H791" s="65"/>
    </row>
    <row r="792">
      <c r="H792" s="65"/>
    </row>
    <row r="793">
      <c r="H793" s="65"/>
    </row>
    <row r="794">
      <c r="H794" s="65"/>
    </row>
    <row r="795">
      <c r="H795" s="65"/>
    </row>
    <row r="796">
      <c r="H796" s="65"/>
    </row>
    <row r="797">
      <c r="H797" s="65"/>
    </row>
    <row r="798">
      <c r="H798" s="65"/>
    </row>
    <row r="799">
      <c r="H799" s="65"/>
    </row>
    <row r="800">
      <c r="H800" s="65"/>
    </row>
    <row r="801">
      <c r="H801" s="65"/>
    </row>
    <row r="802">
      <c r="H802" s="65"/>
    </row>
    <row r="803">
      <c r="H803" s="65"/>
    </row>
    <row r="804">
      <c r="H804" s="65"/>
    </row>
    <row r="805">
      <c r="H805" s="65"/>
    </row>
    <row r="806">
      <c r="H806" s="65"/>
    </row>
    <row r="807">
      <c r="H807" s="65"/>
    </row>
    <row r="808">
      <c r="H808" s="65"/>
    </row>
    <row r="809">
      <c r="H809" s="65"/>
    </row>
    <row r="810">
      <c r="H810" s="65"/>
    </row>
    <row r="811">
      <c r="H811" s="65"/>
    </row>
    <row r="812">
      <c r="H812" s="65"/>
    </row>
    <row r="813">
      <c r="H813" s="65"/>
    </row>
    <row r="814">
      <c r="H814" s="65"/>
    </row>
    <row r="815">
      <c r="H815" s="65"/>
    </row>
    <row r="816">
      <c r="H816" s="65"/>
    </row>
    <row r="817">
      <c r="H817" s="65"/>
    </row>
    <row r="818">
      <c r="H818" s="65"/>
    </row>
    <row r="819">
      <c r="H819" s="65"/>
    </row>
    <row r="820">
      <c r="H820" s="65"/>
    </row>
    <row r="821">
      <c r="H821" s="65"/>
    </row>
    <row r="822">
      <c r="H822" s="65"/>
    </row>
    <row r="823">
      <c r="H823" s="65"/>
    </row>
    <row r="824">
      <c r="H824" s="65"/>
    </row>
    <row r="825">
      <c r="H825" s="65"/>
    </row>
    <row r="826">
      <c r="H826" s="65"/>
    </row>
    <row r="827">
      <c r="H827" s="65"/>
    </row>
    <row r="828">
      <c r="H828" s="65"/>
    </row>
    <row r="829">
      <c r="H829" s="65"/>
    </row>
    <row r="830">
      <c r="H830" s="65"/>
    </row>
    <row r="831">
      <c r="H831" s="65"/>
    </row>
    <row r="832">
      <c r="H832" s="65"/>
    </row>
    <row r="833">
      <c r="H833" s="65"/>
    </row>
    <row r="834">
      <c r="H834" s="65"/>
    </row>
    <row r="835">
      <c r="H835" s="65"/>
    </row>
    <row r="836">
      <c r="H836" s="65"/>
    </row>
    <row r="837">
      <c r="H837" s="65"/>
    </row>
    <row r="838">
      <c r="H838" s="65"/>
    </row>
    <row r="839">
      <c r="H839" s="65"/>
    </row>
    <row r="840">
      <c r="H840" s="65"/>
    </row>
    <row r="841">
      <c r="H841" s="65"/>
    </row>
    <row r="842">
      <c r="H842" s="65"/>
    </row>
    <row r="843">
      <c r="H843" s="65"/>
    </row>
    <row r="844">
      <c r="H844" s="65"/>
    </row>
    <row r="845">
      <c r="H845" s="65"/>
    </row>
    <row r="846">
      <c r="H846" s="65"/>
    </row>
    <row r="847">
      <c r="H847" s="65"/>
    </row>
    <row r="848">
      <c r="H848" s="65"/>
    </row>
    <row r="849">
      <c r="H849" s="65"/>
    </row>
    <row r="850">
      <c r="H850" s="65"/>
    </row>
    <row r="851">
      <c r="H851" s="65"/>
    </row>
    <row r="852">
      <c r="H852" s="65"/>
    </row>
    <row r="853">
      <c r="H853" s="65"/>
    </row>
    <row r="854">
      <c r="H854" s="65"/>
    </row>
    <row r="855">
      <c r="H855" s="65"/>
    </row>
    <row r="856">
      <c r="H856" s="65"/>
    </row>
    <row r="857">
      <c r="H857" s="65"/>
    </row>
    <row r="858">
      <c r="H858" s="65"/>
    </row>
    <row r="859">
      <c r="H859" s="65"/>
    </row>
    <row r="860">
      <c r="H860" s="65"/>
    </row>
    <row r="861">
      <c r="H861" s="65"/>
    </row>
    <row r="862">
      <c r="H862" s="65"/>
    </row>
    <row r="863">
      <c r="H863" s="65"/>
    </row>
    <row r="864">
      <c r="H864" s="65"/>
    </row>
    <row r="865">
      <c r="H865" s="65"/>
    </row>
    <row r="866">
      <c r="H866" s="65"/>
    </row>
    <row r="867">
      <c r="H867" s="65"/>
    </row>
    <row r="868">
      <c r="H868" s="65"/>
    </row>
    <row r="869">
      <c r="H869" s="65"/>
    </row>
    <row r="870">
      <c r="H870" s="65"/>
    </row>
    <row r="871">
      <c r="H871" s="65"/>
    </row>
    <row r="872">
      <c r="H872" s="65"/>
    </row>
    <row r="873">
      <c r="H873" s="65"/>
    </row>
    <row r="874">
      <c r="H874" s="65"/>
    </row>
    <row r="875">
      <c r="H875" s="65"/>
    </row>
    <row r="876">
      <c r="H876" s="65"/>
    </row>
    <row r="877">
      <c r="H877" s="65"/>
    </row>
    <row r="878">
      <c r="H878" s="65"/>
    </row>
    <row r="879">
      <c r="H879" s="65"/>
    </row>
    <row r="880">
      <c r="H880" s="65"/>
    </row>
    <row r="881">
      <c r="H881" s="65"/>
    </row>
    <row r="882">
      <c r="H882" s="65"/>
    </row>
    <row r="883">
      <c r="H883" s="65"/>
    </row>
    <row r="884">
      <c r="H884" s="65"/>
    </row>
    <row r="885">
      <c r="H885" s="65"/>
    </row>
    <row r="886">
      <c r="H886" s="65"/>
    </row>
    <row r="887">
      <c r="H887" s="65"/>
    </row>
    <row r="888">
      <c r="H888" s="65"/>
    </row>
    <row r="889">
      <c r="H889" s="65"/>
    </row>
    <row r="890">
      <c r="H890" s="65"/>
    </row>
    <row r="891">
      <c r="H891" s="65"/>
    </row>
    <row r="892">
      <c r="H892" s="65"/>
    </row>
    <row r="893">
      <c r="H893" s="65"/>
    </row>
    <row r="894">
      <c r="H894" s="65"/>
    </row>
    <row r="895">
      <c r="H895" s="65"/>
    </row>
    <row r="896">
      <c r="H896" s="65"/>
    </row>
    <row r="897">
      <c r="H897" s="65"/>
    </row>
    <row r="898">
      <c r="H898" s="65"/>
    </row>
    <row r="899">
      <c r="H899" s="65"/>
    </row>
    <row r="900">
      <c r="H900" s="65"/>
    </row>
    <row r="901">
      <c r="H901" s="65"/>
    </row>
    <row r="902">
      <c r="H902" s="65"/>
    </row>
    <row r="903">
      <c r="H903" s="65"/>
    </row>
    <row r="904">
      <c r="H904" s="65"/>
    </row>
    <row r="905">
      <c r="H905" s="65"/>
    </row>
    <row r="906">
      <c r="H906" s="65"/>
    </row>
    <row r="907">
      <c r="H907" s="65"/>
    </row>
    <row r="908">
      <c r="H908" s="65"/>
    </row>
    <row r="909">
      <c r="H909" s="65"/>
    </row>
    <row r="910">
      <c r="H910" s="65"/>
    </row>
    <row r="911">
      <c r="H911" s="65"/>
    </row>
    <row r="912">
      <c r="H912" s="65"/>
    </row>
    <row r="913">
      <c r="H913" s="65"/>
    </row>
    <row r="914">
      <c r="H914" s="65"/>
    </row>
    <row r="915">
      <c r="H915" s="65"/>
    </row>
    <row r="916">
      <c r="H916" s="65"/>
    </row>
    <row r="917">
      <c r="H917" s="65"/>
    </row>
    <row r="918">
      <c r="H918" s="65"/>
    </row>
    <row r="919">
      <c r="H919" s="65"/>
    </row>
    <row r="920">
      <c r="H920" s="65"/>
    </row>
    <row r="921">
      <c r="H921" s="65"/>
    </row>
    <row r="922">
      <c r="H922" s="65"/>
    </row>
    <row r="923">
      <c r="H923" s="65"/>
    </row>
    <row r="924">
      <c r="H924" s="65"/>
    </row>
    <row r="925">
      <c r="H925" s="65"/>
    </row>
    <row r="926">
      <c r="H926" s="65"/>
    </row>
    <row r="927">
      <c r="H927" s="65"/>
    </row>
    <row r="928">
      <c r="H928" s="65"/>
    </row>
    <row r="929">
      <c r="H929" s="65"/>
    </row>
    <row r="930">
      <c r="H930" s="65"/>
    </row>
    <row r="931">
      <c r="H931" s="65"/>
    </row>
    <row r="932">
      <c r="H932" s="65"/>
    </row>
    <row r="933">
      <c r="H933" s="65"/>
    </row>
    <row r="934">
      <c r="H934" s="65"/>
    </row>
    <row r="935">
      <c r="H935" s="65"/>
    </row>
    <row r="936">
      <c r="H936" s="65"/>
    </row>
    <row r="937">
      <c r="H937" s="65"/>
    </row>
    <row r="938">
      <c r="H938" s="65"/>
    </row>
    <row r="939">
      <c r="H939" s="65"/>
    </row>
    <row r="940">
      <c r="H940" s="65"/>
    </row>
    <row r="941">
      <c r="H941" s="65"/>
    </row>
    <row r="942">
      <c r="H942" s="65"/>
    </row>
    <row r="943">
      <c r="H943" s="65"/>
    </row>
    <row r="944">
      <c r="H944" s="65"/>
    </row>
    <row r="945">
      <c r="H945" s="65"/>
    </row>
    <row r="946">
      <c r="H946" s="65"/>
    </row>
    <row r="947">
      <c r="H947" s="65"/>
    </row>
    <row r="948">
      <c r="H948" s="65"/>
    </row>
    <row r="949">
      <c r="H949" s="65"/>
    </row>
    <row r="950">
      <c r="H950" s="65"/>
    </row>
    <row r="951">
      <c r="H951" s="65"/>
    </row>
    <row r="952">
      <c r="H952" s="65"/>
    </row>
    <row r="953">
      <c r="H953" s="65"/>
    </row>
    <row r="954">
      <c r="H954" s="65"/>
    </row>
    <row r="955">
      <c r="H955" s="65"/>
    </row>
    <row r="956">
      <c r="H956" s="65"/>
    </row>
    <row r="957">
      <c r="H957" s="65"/>
    </row>
    <row r="958">
      <c r="H958" s="65"/>
    </row>
    <row r="959">
      <c r="H959" s="65"/>
    </row>
    <row r="960">
      <c r="H960" s="65"/>
    </row>
    <row r="961">
      <c r="H961" s="65"/>
    </row>
    <row r="962">
      <c r="H962" s="65"/>
    </row>
    <row r="963">
      <c r="H963" s="65"/>
    </row>
    <row r="964">
      <c r="H964" s="65"/>
    </row>
    <row r="965">
      <c r="H965" s="65"/>
    </row>
    <row r="966">
      <c r="H966" s="65"/>
    </row>
    <row r="967">
      <c r="H967" s="65"/>
    </row>
    <row r="968">
      <c r="H968" s="65"/>
    </row>
    <row r="969">
      <c r="H969" s="65"/>
    </row>
    <row r="970">
      <c r="H970" s="65"/>
    </row>
    <row r="971">
      <c r="H971" s="65"/>
    </row>
    <row r="972">
      <c r="H972" s="65"/>
    </row>
    <row r="973">
      <c r="H973" s="65"/>
    </row>
    <row r="974">
      <c r="H974" s="65"/>
    </row>
    <row r="975">
      <c r="H975" s="65"/>
    </row>
    <row r="976">
      <c r="H976" s="65"/>
    </row>
    <row r="977">
      <c r="H977" s="65"/>
    </row>
    <row r="978">
      <c r="H978" s="65"/>
    </row>
    <row r="979">
      <c r="H979" s="65"/>
    </row>
    <row r="980">
      <c r="H980" s="65"/>
    </row>
    <row r="981">
      <c r="H981" s="65"/>
    </row>
    <row r="982">
      <c r="H982" s="65"/>
    </row>
    <row r="983">
      <c r="H983" s="65"/>
    </row>
    <row r="984">
      <c r="H984" s="65"/>
    </row>
    <row r="985">
      <c r="H985" s="65"/>
    </row>
    <row r="986">
      <c r="H986" s="65"/>
    </row>
    <row r="987">
      <c r="H987" s="65"/>
    </row>
    <row r="988">
      <c r="H988" s="65"/>
    </row>
    <row r="989">
      <c r="H989" s="65"/>
    </row>
    <row r="990">
      <c r="H990" s="65"/>
    </row>
    <row r="991">
      <c r="H991" s="65"/>
    </row>
    <row r="992">
      <c r="H992" s="65"/>
    </row>
    <row r="993">
      <c r="H993" s="65"/>
    </row>
    <row r="994">
      <c r="H994" s="65"/>
    </row>
    <row r="995">
      <c r="H995" s="65"/>
    </row>
    <row r="996">
      <c r="H996" s="65"/>
    </row>
    <row r="997">
      <c r="H997" s="65"/>
    </row>
    <row r="998">
      <c r="H998" s="65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17.14"/>
    <col customWidth="1" min="3" max="3" width="21.57"/>
    <col customWidth="1" min="4" max="5" width="11.43"/>
    <col customWidth="1" min="6" max="6" width="14.71"/>
    <col customWidth="1" min="7" max="7" width="26.43"/>
    <col customWidth="1" min="8" max="8" width="13.14"/>
    <col customWidth="1" min="10" max="10" width="44.57"/>
    <col customWidth="1" min="11" max="11" width="22.29"/>
    <col customWidth="1" min="12" max="12" width="28.43"/>
  </cols>
  <sheetData>
    <row r="1" ht="36.0" customHeight="1">
      <c r="A1" s="66" t="s">
        <v>210</v>
      </c>
      <c r="B1" s="67" t="s">
        <v>9</v>
      </c>
      <c r="C1" s="67" t="s">
        <v>10</v>
      </c>
      <c r="D1" s="67" t="s">
        <v>11</v>
      </c>
      <c r="E1" s="67" t="s">
        <v>12</v>
      </c>
      <c r="F1" s="68" t="s">
        <v>13</v>
      </c>
      <c r="G1" s="69" t="s">
        <v>1</v>
      </c>
      <c r="H1" s="70" t="s">
        <v>14</v>
      </c>
      <c r="I1" s="69" t="s">
        <v>15</v>
      </c>
      <c r="J1" s="71" t="s">
        <v>16</v>
      </c>
      <c r="K1" s="71" t="s">
        <v>5</v>
      </c>
      <c r="L1" s="71" t="s">
        <v>6</v>
      </c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>
      <c r="A2" s="52">
        <v>26.0</v>
      </c>
      <c r="B2" s="55">
        <v>44080.0</v>
      </c>
      <c r="C2" s="56">
        <v>0.2986111111111111</v>
      </c>
      <c r="D2" s="55">
        <v>44080.0</v>
      </c>
      <c r="E2" s="56">
        <v>0.46041666666666664</v>
      </c>
      <c r="F2" s="56">
        <v>0.16180555555555556</v>
      </c>
      <c r="G2" s="57" t="s">
        <v>17</v>
      </c>
      <c r="H2" s="58">
        <v>30.0</v>
      </c>
      <c r="I2" s="57" t="s">
        <v>18</v>
      </c>
      <c r="J2" s="59" t="s">
        <v>19</v>
      </c>
      <c r="K2" s="60"/>
      <c r="L2" s="60"/>
    </row>
    <row r="3">
      <c r="A3" s="18">
        <v>92.0</v>
      </c>
      <c r="B3" s="19">
        <v>44079.0</v>
      </c>
      <c r="C3" s="20">
        <v>0.4409722222222222</v>
      </c>
      <c r="D3" s="19">
        <v>44079.0</v>
      </c>
      <c r="E3" s="20">
        <v>0.6152777777777778</v>
      </c>
      <c r="F3" s="20">
        <v>0.17430555555555555</v>
      </c>
      <c r="G3" s="21" t="s">
        <v>20</v>
      </c>
      <c r="H3" s="22">
        <v>30.0</v>
      </c>
      <c r="I3" s="21" t="s">
        <v>18</v>
      </c>
      <c r="J3" s="59" t="s">
        <v>21</v>
      </c>
      <c r="K3" s="23" t="s">
        <v>22</v>
      </c>
      <c r="L3" s="23" t="s">
        <v>23</v>
      </c>
    </row>
    <row r="4">
      <c r="A4" s="18">
        <v>55.0</v>
      </c>
      <c r="B4" s="19">
        <v>44079.0</v>
      </c>
      <c r="C4" s="20">
        <v>0.46805555555555556</v>
      </c>
      <c r="D4" s="19">
        <v>44079.0</v>
      </c>
      <c r="E4" s="20">
        <v>0.6611111111111111</v>
      </c>
      <c r="F4" s="20">
        <v>0.19305555555555556</v>
      </c>
      <c r="G4" s="39"/>
      <c r="H4" s="22">
        <v>30.0</v>
      </c>
      <c r="I4" s="21" t="s">
        <v>18</v>
      </c>
      <c r="J4" s="59" t="s">
        <v>24</v>
      </c>
      <c r="K4" s="25"/>
      <c r="L4" s="25"/>
    </row>
    <row r="5">
      <c r="A5" s="18">
        <v>120.0</v>
      </c>
      <c r="B5" s="19">
        <v>44079.0</v>
      </c>
      <c r="C5" s="20">
        <v>0.3840277777777778</v>
      </c>
      <c r="D5" s="19">
        <v>44079.0</v>
      </c>
      <c r="E5" s="20">
        <v>0.6125</v>
      </c>
      <c r="F5" s="20">
        <v>0.22847222222222222</v>
      </c>
      <c r="G5" s="27" t="s">
        <v>25</v>
      </c>
      <c r="H5" s="22">
        <v>30.0</v>
      </c>
      <c r="I5" s="27" t="s">
        <v>18</v>
      </c>
      <c r="J5" s="59" t="s">
        <v>26</v>
      </c>
      <c r="K5" s="29"/>
      <c r="L5" s="29"/>
    </row>
    <row r="6">
      <c r="A6" s="18">
        <v>29.0</v>
      </c>
      <c r="B6" s="19">
        <v>44079.0</v>
      </c>
      <c r="C6" s="20">
        <v>0.39791666666666664</v>
      </c>
      <c r="D6" s="19">
        <v>44079.0</v>
      </c>
      <c r="E6" s="20">
        <v>0.6305555555555555</v>
      </c>
      <c r="F6" s="20">
        <v>0.2326388888888889</v>
      </c>
      <c r="G6" s="21" t="s">
        <v>27</v>
      </c>
      <c r="H6" s="22">
        <v>30.0</v>
      </c>
      <c r="I6" s="21" t="s">
        <v>18</v>
      </c>
      <c r="J6" s="59" t="s">
        <v>28</v>
      </c>
      <c r="K6" s="25"/>
      <c r="L6" s="25"/>
    </row>
    <row r="7">
      <c r="A7" s="18">
        <v>18.0</v>
      </c>
      <c r="B7" s="19">
        <v>44079.0</v>
      </c>
      <c r="C7" s="20">
        <v>0.5583333333333333</v>
      </c>
      <c r="D7" s="19">
        <v>44079.0</v>
      </c>
      <c r="E7" s="20">
        <v>0.8048611111111111</v>
      </c>
      <c r="F7" s="20">
        <v>0.2465277777777778</v>
      </c>
      <c r="G7" s="39"/>
      <c r="H7" s="22">
        <v>30.0</v>
      </c>
      <c r="I7" s="21" t="s">
        <v>18</v>
      </c>
      <c r="J7" s="59" t="s">
        <v>29</v>
      </c>
      <c r="K7" s="25"/>
      <c r="L7" s="25"/>
    </row>
    <row r="8">
      <c r="A8" s="18">
        <v>61.0</v>
      </c>
      <c r="B8" s="19">
        <v>44079.0</v>
      </c>
      <c r="C8" s="20">
        <v>0.33125</v>
      </c>
      <c r="D8" s="19">
        <v>44079.0</v>
      </c>
      <c r="E8" s="20">
        <v>0.6263888888888889</v>
      </c>
      <c r="F8" s="20">
        <v>0.2951388888888889</v>
      </c>
      <c r="G8" s="21" t="s">
        <v>32</v>
      </c>
      <c r="H8" s="22">
        <v>30.0</v>
      </c>
      <c r="I8" s="21" t="s">
        <v>18</v>
      </c>
      <c r="J8" s="59" t="s">
        <v>33</v>
      </c>
      <c r="K8" s="23" t="s">
        <v>34</v>
      </c>
      <c r="L8" s="25"/>
    </row>
    <row r="9">
      <c r="A9" s="18">
        <v>77.0</v>
      </c>
      <c r="B9" s="19">
        <v>44079.0</v>
      </c>
      <c r="C9" s="20">
        <v>0.40625</v>
      </c>
      <c r="D9" s="19">
        <v>44079.0</v>
      </c>
      <c r="E9" s="20">
        <v>0.7013888888888888</v>
      </c>
      <c r="F9" s="20">
        <v>0.2951388888888889</v>
      </c>
      <c r="G9" s="21" t="s">
        <v>35</v>
      </c>
      <c r="H9" s="22">
        <v>30.0</v>
      </c>
      <c r="I9" s="21" t="s">
        <v>18</v>
      </c>
      <c r="J9" s="59" t="s">
        <v>36</v>
      </c>
      <c r="K9" s="25"/>
      <c r="L9" s="25"/>
    </row>
    <row r="10">
      <c r="A10" s="18">
        <v>59.0</v>
      </c>
      <c r="B10" s="19">
        <v>44079.0</v>
      </c>
      <c r="C10" s="20">
        <v>0.5236111111111111</v>
      </c>
      <c r="D10" s="19">
        <v>44079.0</v>
      </c>
      <c r="E10" s="20">
        <v>0.8284722222222223</v>
      </c>
      <c r="F10" s="20">
        <v>0.30486111111111114</v>
      </c>
      <c r="G10" s="21" t="s">
        <v>37</v>
      </c>
      <c r="H10" s="22">
        <v>30.0</v>
      </c>
      <c r="I10" s="21" t="s">
        <v>18</v>
      </c>
      <c r="J10" s="59" t="s">
        <v>38</v>
      </c>
      <c r="K10" s="23" t="s">
        <v>39</v>
      </c>
      <c r="L10" s="30"/>
    </row>
    <row r="11">
      <c r="A11" s="31">
        <v>101.0</v>
      </c>
      <c r="B11" s="32">
        <v>44079.0</v>
      </c>
      <c r="C11" s="33">
        <v>0.3958333333333333</v>
      </c>
      <c r="D11" s="32">
        <v>44079.0</v>
      </c>
      <c r="E11" s="33">
        <v>0.7048611111111112</v>
      </c>
      <c r="F11" s="33">
        <v>0.3090277777777778</v>
      </c>
      <c r="G11" s="21" t="s">
        <v>40</v>
      </c>
      <c r="H11" s="22">
        <v>30.0</v>
      </c>
      <c r="I11" s="21" t="s">
        <v>18</v>
      </c>
      <c r="J11" s="59" t="s">
        <v>41</v>
      </c>
      <c r="K11" s="23" t="s">
        <v>42</v>
      </c>
      <c r="L11" s="23" t="s">
        <v>43</v>
      </c>
    </row>
    <row r="12">
      <c r="A12" s="18">
        <v>82.0</v>
      </c>
      <c r="B12" s="19">
        <v>44079.0</v>
      </c>
      <c r="C12" s="20">
        <v>0.375</v>
      </c>
      <c r="D12" s="19">
        <v>44079.0</v>
      </c>
      <c r="E12" s="20">
        <v>0.6847222222222222</v>
      </c>
      <c r="F12" s="20">
        <v>0.30972222222222223</v>
      </c>
      <c r="G12" s="21" t="s">
        <v>44</v>
      </c>
      <c r="H12" s="22">
        <v>30.0</v>
      </c>
      <c r="I12" s="21" t="s">
        <v>18</v>
      </c>
      <c r="J12" s="59" t="s">
        <v>45</v>
      </c>
      <c r="K12" s="30"/>
      <c r="L12" s="25"/>
    </row>
    <row r="13">
      <c r="A13" s="18">
        <v>49.0</v>
      </c>
      <c r="B13" s="19">
        <v>44079.0</v>
      </c>
      <c r="C13" s="20">
        <v>0.34930555555555554</v>
      </c>
      <c r="D13" s="19">
        <v>44079.0</v>
      </c>
      <c r="E13" s="20">
        <v>0.6590277777777778</v>
      </c>
      <c r="F13" s="20">
        <v>0.30972222222222223</v>
      </c>
      <c r="G13" s="21" t="s">
        <v>46</v>
      </c>
      <c r="H13" s="22">
        <v>30.0</v>
      </c>
      <c r="I13" s="21" t="s">
        <v>18</v>
      </c>
      <c r="J13" s="59" t="s">
        <v>47</v>
      </c>
      <c r="K13" s="34" t="s">
        <v>48</v>
      </c>
      <c r="L13" s="25"/>
    </row>
    <row r="14">
      <c r="A14" s="18">
        <v>105.0</v>
      </c>
      <c r="B14" s="19">
        <v>44079.0</v>
      </c>
      <c r="C14" s="20">
        <v>0.3611111111111111</v>
      </c>
      <c r="D14" s="19">
        <v>44079.0</v>
      </c>
      <c r="E14" s="20">
        <v>0.6756944444444445</v>
      </c>
      <c r="F14" s="20">
        <v>0.3145833333333333</v>
      </c>
      <c r="G14" s="27" t="s">
        <v>49</v>
      </c>
      <c r="H14" s="22">
        <v>30.0</v>
      </c>
      <c r="I14" s="27" t="s">
        <v>18</v>
      </c>
      <c r="J14" s="59" t="s">
        <v>50</v>
      </c>
      <c r="K14" s="27" t="s">
        <v>51</v>
      </c>
      <c r="L14" s="29"/>
    </row>
    <row r="15">
      <c r="A15" s="18">
        <v>50.0</v>
      </c>
      <c r="B15" s="19">
        <v>44079.0</v>
      </c>
      <c r="C15" s="20">
        <v>0.4847222222222222</v>
      </c>
      <c r="D15" s="19">
        <v>44079.0</v>
      </c>
      <c r="E15" s="20">
        <v>0.8138888888888889</v>
      </c>
      <c r="F15" s="20">
        <v>0.32916666666666666</v>
      </c>
      <c r="G15" s="21" t="s">
        <v>52</v>
      </c>
      <c r="H15" s="22">
        <v>30.0</v>
      </c>
      <c r="I15" s="21" t="s">
        <v>18</v>
      </c>
      <c r="J15" s="59" t="s">
        <v>53</v>
      </c>
      <c r="K15" s="30"/>
      <c r="L15" s="30"/>
    </row>
    <row r="16">
      <c r="A16" s="18">
        <v>93.0</v>
      </c>
      <c r="B16" s="19">
        <v>44079.0</v>
      </c>
      <c r="C16" s="20">
        <v>0.3923611111111111</v>
      </c>
      <c r="D16" s="19">
        <v>44079.0</v>
      </c>
      <c r="E16" s="20">
        <v>0.7236111111111111</v>
      </c>
      <c r="F16" s="20">
        <v>0.33125</v>
      </c>
      <c r="G16" s="21" t="s">
        <v>54</v>
      </c>
      <c r="H16" s="22">
        <v>30.0</v>
      </c>
      <c r="I16" s="21" t="s">
        <v>18</v>
      </c>
      <c r="J16" s="59" t="s">
        <v>55</v>
      </c>
      <c r="K16" s="23" t="s">
        <v>56</v>
      </c>
      <c r="L16" s="23" t="s">
        <v>57</v>
      </c>
    </row>
    <row r="17">
      <c r="A17" s="18">
        <v>5.0</v>
      </c>
      <c r="B17" s="19">
        <v>44079.0</v>
      </c>
      <c r="C17" s="20">
        <v>0.4951388888888889</v>
      </c>
      <c r="D17" s="19">
        <v>44079.0</v>
      </c>
      <c r="E17" s="20">
        <v>0.83125</v>
      </c>
      <c r="F17" s="20">
        <v>0.33611111111111114</v>
      </c>
      <c r="G17" s="21"/>
      <c r="H17" s="22">
        <v>30.0</v>
      </c>
      <c r="I17" s="21" t="s">
        <v>18</v>
      </c>
      <c r="J17" s="59" t="s">
        <v>59</v>
      </c>
      <c r="K17" s="30"/>
      <c r="L17" s="30"/>
    </row>
    <row r="18">
      <c r="A18" s="18">
        <v>96.0</v>
      </c>
      <c r="B18" s="19">
        <v>44079.0</v>
      </c>
      <c r="C18" s="20">
        <v>0.425</v>
      </c>
      <c r="D18" s="19">
        <v>44079.0</v>
      </c>
      <c r="E18" s="20">
        <v>0.7666666666666667</v>
      </c>
      <c r="F18" s="20">
        <v>0.3416666666666667</v>
      </c>
      <c r="G18" s="21" t="s">
        <v>60</v>
      </c>
      <c r="H18" s="22">
        <v>30.0</v>
      </c>
      <c r="I18" s="21" t="s">
        <v>18</v>
      </c>
      <c r="J18" s="59" t="s">
        <v>61</v>
      </c>
      <c r="K18" s="23" t="s">
        <v>62</v>
      </c>
      <c r="L18" s="23" t="s">
        <v>39</v>
      </c>
    </row>
    <row r="19">
      <c r="A19" s="18">
        <v>106.0</v>
      </c>
      <c r="B19" s="19">
        <v>44079.0</v>
      </c>
      <c r="C19" s="20">
        <v>0.3840277777777778</v>
      </c>
      <c r="D19" s="19">
        <v>44079.0</v>
      </c>
      <c r="E19" s="20">
        <v>0.7277777777777777</v>
      </c>
      <c r="F19" s="20">
        <v>0.34375</v>
      </c>
      <c r="G19" s="29"/>
      <c r="H19" s="22">
        <v>30.0</v>
      </c>
      <c r="I19" s="27" t="s">
        <v>18</v>
      </c>
      <c r="J19" s="59" t="s">
        <v>63</v>
      </c>
      <c r="K19" s="29"/>
      <c r="L19" s="29"/>
    </row>
    <row r="20">
      <c r="A20" s="18">
        <v>20.0</v>
      </c>
      <c r="B20" s="19">
        <v>44078.0</v>
      </c>
      <c r="C20" s="48">
        <v>0.9604166666666667</v>
      </c>
      <c r="D20" s="49">
        <v>44079.0</v>
      </c>
      <c r="E20" s="20">
        <v>0.3111111111111111</v>
      </c>
      <c r="F20" s="50" t="s">
        <v>186</v>
      </c>
      <c r="G20" s="39"/>
      <c r="H20" s="22">
        <v>30.0</v>
      </c>
      <c r="I20" s="21" t="s">
        <v>109</v>
      </c>
      <c r="J20" s="59" t="s">
        <v>187</v>
      </c>
      <c r="K20" s="35"/>
      <c r="L20" s="29"/>
    </row>
    <row r="21">
      <c r="A21" s="18">
        <v>110.0</v>
      </c>
      <c r="B21" s="19">
        <v>44079.0</v>
      </c>
      <c r="C21" s="20">
        <v>0.4131944444444444</v>
      </c>
      <c r="D21" s="19">
        <v>44079.0</v>
      </c>
      <c r="E21" s="20">
        <v>0.7826388888888889</v>
      </c>
      <c r="F21" s="20">
        <v>0.36944444444444446</v>
      </c>
      <c r="G21" s="35"/>
      <c r="H21" s="22">
        <v>30.0</v>
      </c>
      <c r="I21" s="27" t="s">
        <v>18</v>
      </c>
      <c r="J21" s="59" t="s">
        <v>69</v>
      </c>
      <c r="K21" s="35"/>
      <c r="L21" s="29"/>
    </row>
    <row r="22">
      <c r="A22" s="18">
        <v>85.0</v>
      </c>
      <c r="B22" s="19">
        <v>44080.0</v>
      </c>
      <c r="C22" s="20">
        <v>0.4270833333333333</v>
      </c>
      <c r="D22" s="19">
        <v>44080.0</v>
      </c>
      <c r="E22" s="20">
        <v>0.7986111111111112</v>
      </c>
      <c r="F22" s="20">
        <v>0.3715277777777778</v>
      </c>
      <c r="G22" s="21" t="s">
        <v>70</v>
      </c>
      <c r="H22" s="22">
        <v>30.0</v>
      </c>
      <c r="I22" s="21" t="s">
        <v>18</v>
      </c>
      <c r="J22" s="59" t="s">
        <v>71</v>
      </c>
      <c r="K22" s="23" t="s">
        <v>72</v>
      </c>
      <c r="L22" s="30"/>
    </row>
    <row r="23">
      <c r="A23" s="18">
        <v>39.0</v>
      </c>
      <c r="B23" s="19">
        <v>44079.0</v>
      </c>
      <c r="C23" s="20">
        <v>0.38472222222222224</v>
      </c>
      <c r="D23" s="19">
        <v>44079.0</v>
      </c>
      <c r="E23" s="20">
        <v>0.75625</v>
      </c>
      <c r="F23" s="20">
        <v>0.3715277777777778</v>
      </c>
      <c r="G23" s="36" t="s">
        <v>73</v>
      </c>
      <c r="H23" s="37">
        <v>30.0</v>
      </c>
      <c r="I23" s="21" t="s">
        <v>18</v>
      </c>
      <c r="J23" s="59" t="s">
        <v>74</v>
      </c>
      <c r="K23" s="34" t="s">
        <v>75</v>
      </c>
      <c r="L23" s="23" t="s">
        <v>76</v>
      </c>
    </row>
    <row r="24">
      <c r="A24" s="18">
        <v>121.0</v>
      </c>
      <c r="B24" s="19">
        <v>44079.0</v>
      </c>
      <c r="C24" s="20">
        <v>0.3840277777777778</v>
      </c>
      <c r="D24" s="19">
        <v>44079.0</v>
      </c>
      <c r="E24" s="20">
        <v>0.7638888888888888</v>
      </c>
      <c r="F24" s="20">
        <v>0.3798611111111111</v>
      </c>
      <c r="G24" s="27" t="s">
        <v>77</v>
      </c>
      <c r="H24" s="22">
        <v>30.0</v>
      </c>
      <c r="I24" s="27" t="s">
        <v>18</v>
      </c>
      <c r="J24" s="59" t="s">
        <v>78</v>
      </c>
      <c r="K24" s="35"/>
      <c r="L24" s="29"/>
    </row>
    <row r="25">
      <c r="A25" s="18">
        <v>53.0</v>
      </c>
      <c r="B25" s="19">
        <v>44079.0</v>
      </c>
      <c r="C25" s="20">
        <v>0.5569444444444445</v>
      </c>
      <c r="D25" s="19">
        <v>44079.0</v>
      </c>
      <c r="E25" s="20">
        <v>0.9381944444444444</v>
      </c>
      <c r="F25" s="20">
        <v>0.38125</v>
      </c>
      <c r="G25" s="21" t="s">
        <v>79</v>
      </c>
      <c r="H25" s="22">
        <v>30.0</v>
      </c>
      <c r="I25" s="21" t="s">
        <v>18</v>
      </c>
      <c r="J25" s="59" t="s">
        <v>80</v>
      </c>
      <c r="K25" s="23" t="s">
        <v>81</v>
      </c>
      <c r="L25" s="30"/>
    </row>
    <row r="26">
      <c r="A26" s="18">
        <v>97.0</v>
      </c>
      <c r="B26" s="19">
        <v>44079.0</v>
      </c>
      <c r="C26" s="20">
        <v>0.32083333333333336</v>
      </c>
      <c r="D26" s="19">
        <v>44079.0</v>
      </c>
      <c r="E26" s="20">
        <v>0.7069444444444445</v>
      </c>
      <c r="F26" s="20">
        <v>0.3861111111111111</v>
      </c>
      <c r="G26" s="21" t="s">
        <v>82</v>
      </c>
      <c r="H26" s="22">
        <v>30.0</v>
      </c>
      <c r="I26" s="21" t="s">
        <v>18</v>
      </c>
      <c r="J26" s="59" t="s">
        <v>83</v>
      </c>
      <c r="K26" s="23" t="s">
        <v>84</v>
      </c>
      <c r="L26" s="23" t="s">
        <v>85</v>
      </c>
    </row>
    <row r="27">
      <c r="A27" s="18">
        <v>91.0</v>
      </c>
      <c r="B27" s="19">
        <v>44079.0</v>
      </c>
      <c r="C27" s="20">
        <v>0.3541666666666667</v>
      </c>
      <c r="D27" s="19">
        <v>44079.0</v>
      </c>
      <c r="E27" s="20">
        <v>0.7465277777777778</v>
      </c>
      <c r="F27" s="20">
        <v>0.3923611111111111</v>
      </c>
      <c r="G27" s="21" t="s">
        <v>86</v>
      </c>
      <c r="H27" s="22">
        <v>30.0</v>
      </c>
      <c r="I27" s="21" t="s">
        <v>18</v>
      </c>
      <c r="J27" s="59" t="s">
        <v>87</v>
      </c>
      <c r="K27" s="23" t="s">
        <v>88</v>
      </c>
      <c r="L27" s="25"/>
    </row>
    <row r="28">
      <c r="A28" s="18">
        <v>8.0</v>
      </c>
      <c r="B28" s="19">
        <v>44079.0</v>
      </c>
      <c r="C28" s="20">
        <v>0.4638888888888889</v>
      </c>
      <c r="D28" s="19">
        <v>44079.0</v>
      </c>
      <c r="E28" s="20">
        <v>0.8569444444444444</v>
      </c>
      <c r="F28" s="20">
        <v>0.39305555555555555</v>
      </c>
      <c r="G28" s="21" t="s">
        <v>89</v>
      </c>
      <c r="H28" s="22">
        <v>30.0</v>
      </c>
      <c r="I28" s="21" t="s">
        <v>18</v>
      </c>
      <c r="J28" s="59" t="s">
        <v>90</v>
      </c>
      <c r="K28" s="38"/>
      <c r="L28" s="25"/>
    </row>
    <row r="29">
      <c r="A29" s="18">
        <v>74.0</v>
      </c>
      <c r="B29" s="19">
        <v>44079.0</v>
      </c>
      <c r="C29" s="20">
        <v>0.4708333333333333</v>
      </c>
      <c r="D29" s="19">
        <v>44079.0</v>
      </c>
      <c r="E29" s="20">
        <v>0.9729166666666667</v>
      </c>
      <c r="F29" s="20">
        <v>0.5020833333333333</v>
      </c>
      <c r="G29" s="21" t="s">
        <v>115</v>
      </c>
      <c r="H29" s="22">
        <v>30.0</v>
      </c>
      <c r="I29" s="21" t="s">
        <v>18</v>
      </c>
      <c r="J29" s="59" t="s">
        <v>116</v>
      </c>
      <c r="K29" s="25"/>
      <c r="L29" s="25"/>
    </row>
    <row r="30">
      <c r="A30" s="18">
        <v>104.0</v>
      </c>
      <c r="B30" s="19">
        <v>44079.0</v>
      </c>
      <c r="C30" s="20">
        <v>0.4708333333333333</v>
      </c>
      <c r="D30" s="19">
        <v>44079.0</v>
      </c>
      <c r="E30" s="20">
        <v>0.9729166666666667</v>
      </c>
      <c r="F30" s="20">
        <v>0.5020833333333333</v>
      </c>
      <c r="G30" s="35"/>
      <c r="H30" s="22">
        <v>30.0</v>
      </c>
      <c r="I30" s="27" t="s">
        <v>18</v>
      </c>
      <c r="J30" s="59" t="s">
        <v>117</v>
      </c>
      <c r="K30" s="35"/>
      <c r="L30" s="29"/>
    </row>
    <row r="31">
      <c r="A31" s="40">
        <v>89.0</v>
      </c>
      <c r="B31" s="41">
        <v>44079.0</v>
      </c>
      <c r="C31" s="42">
        <v>0.4638888888888889</v>
      </c>
      <c r="D31" s="41">
        <v>44080.0</v>
      </c>
      <c r="E31" s="42">
        <v>0.025</v>
      </c>
      <c r="F31" s="42">
        <v>0.5611111111111111</v>
      </c>
      <c r="G31" s="21" t="s">
        <v>133</v>
      </c>
      <c r="H31" s="22">
        <v>30.0</v>
      </c>
      <c r="I31" s="21" t="s">
        <v>18</v>
      </c>
      <c r="J31" s="59" t="s">
        <v>134</v>
      </c>
      <c r="K31" s="23" t="s">
        <v>135</v>
      </c>
      <c r="L31" s="25"/>
    </row>
    <row r="32">
      <c r="A32" s="18">
        <v>38.0</v>
      </c>
      <c r="B32" s="19">
        <v>44079.0</v>
      </c>
      <c r="C32" s="43" t="s">
        <v>194</v>
      </c>
      <c r="D32" s="19">
        <v>44079.0</v>
      </c>
      <c r="E32" s="20">
        <v>0.6743055555555556</v>
      </c>
      <c r="F32" s="51" t="s">
        <v>195</v>
      </c>
      <c r="G32" s="21" t="s">
        <v>199</v>
      </c>
      <c r="H32" s="22">
        <v>30.0</v>
      </c>
      <c r="I32" s="21" t="s">
        <v>18</v>
      </c>
      <c r="J32" s="23" t="s">
        <v>200</v>
      </c>
      <c r="K32" s="23" t="s">
        <v>201</v>
      </c>
      <c r="L32" s="30"/>
    </row>
    <row r="33">
      <c r="A33" s="31">
        <v>102.0</v>
      </c>
      <c r="B33" s="32">
        <v>44079.0</v>
      </c>
      <c r="C33" s="61" t="s">
        <v>194</v>
      </c>
      <c r="D33" s="32">
        <v>44079.0</v>
      </c>
      <c r="E33" s="61" t="s">
        <v>194</v>
      </c>
      <c r="F33" s="62" t="s">
        <v>195</v>
      </c>
      <c r="G33" s="21" t="s">
        <v>206</v>
      </c>
      <c r="H33" s="22">
        <v>30.0</v>
      </c>
      <c r="I33" s="21" t="s">
        <v>18</v>
      </c>
      <c r="J33" s="23" t="s">
        <v>207</v>
      </c>
      <c r="K33" s="23" t="s">
        <v>208</v>
      </c>
      <c r="L33" s="23" t="s">
        <v>209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7" max="7" width="26.29"/>
    <col customWidth="1" min="8" max="8" width="8.29"/>
    <col customWidth="1" min="10" max="12" width="21.86"/>
  </cols>
  <sheetData>
    <row r="1" ht="36.0" customHeight="1">
      <c r="A1" s="66" t="s">
        <v>8</v>
      </c>
      <c r="B1" s="67" t="s">
        <v>9</v>
      </c>
      <c r="C1" s="67" t="s">
        <v>10</v>
      </c>
      <c r="D1" s="67" t="s">
        <v>11</v>
      </c>
      <c r="E1" s="67" t="s">
        <v>12</v>
      </c>
      <c r="F1" s="68" t="s">
        <v>13</v>
      </c>
      <c r="G1" s="69" t="s">
        <v>1</v>
      </c>
      <c r="H1" s="70" t="s">
        <v>14</v>
      </c>
      <c r="I1" s="69" t="s">
        <v>15</v>
      </c>
      <c r="J1" s="71" t="s">
        <v>16</v>
      </c>
      <c r="K1" s="71" t="s">
        <v>5</v>
      </c>
      <c r="L1" s="71" t="s">
        <v>6</v>
      </c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>
      <c r="A2" s="18">
        <v>7.0</v>
      </c>
      <c r="B2" s="19">
        <v>44079.0</v>
      </c>
      <c r="C2" s="20">
        <v>0.31875</v>
      </c>
      <c r="D2" s="19">
        <v>44079.0</v>
      </c>
      <c r="E2" s="20">
        <v>0.6041666666666666</v>
      </c>
      <c r="F2" s="20">
        <v>0.28541666666666665</v>
      </c>
      <c r="G2" s="21" t="s">
        <v>30</v>
      </c>
      <c r="H2" s="22">
        <v>40.0</v>
      </c>
      <c r="I2" s="21" t="s">
        <v>18</v>
      </c>
      <c r="J2" s="23" t="s">
        <v>31</v>
      </c>
      <c r="K2" s="25"/>
      <c r="L2" s="25"/>
    </row>
    <row r="3">
      <c r="A3" s="18">
        <v>41.0</v>
      </c>
      <c r="B3" s="19">
        <v>44079.0</v>
      </c>
      <c r="C3" s="20">
        <v>0.5090277777777777</v>
      </c>
      <c r="D3" s="19">
        <v>44079.0</v>
      </c>
      <c r="E3" s="20">
        <v>0.8548611111111111</v>
      </c>
      <c r="F3" s="20">
        <v>0.3458333333333333</v>
      </c>
      <c r="G3" s="36" t="s">
        <v>64</v>
      </c>
      <c r="H3" s="37">
        <v>40.0</v>
      </c>
      <c r="I3" s="21" t="s">
        <v>18</v>
      </c>
      <c r="J3" s="23" t="s">
        <v>64</v>
      </c>
      <c r="K3" s="25"/>
      <c r="L3" s="25"/>
    </row>
    <row r="4">
      <c r="A4" s="18">
        <v>52.0</v>
      </c>
      <c r="B4" s="19">
        <v>44079.0</v>
      </c>
      <c r="C4" s="20">
        <v>0.4270833333333333</v>
      </c>
      <c r="D4" s="19">
        <v>44079.0</v>
      </c>
      <c r="E4" s="20">
        <v>0.7861111111111111</v>
      </c>
      <c r="F4" s="20">
        <v>0.3590277777777778</v>
      </c>
      <c r="G4" s="21" t="s">
        <v>65</v>
      </c>
      <c r="H4" s="22">
        <v>40.0</v>
      </c>
      <c r="I4" s="21" t="s">
        <v>18</v>
      </c>
      <c r="J4" s="23" t="s">
        <v>65</v>
      </c>
      <c r="K4" s="25"/>
      <c r="L4" s="25"/>
    </row>
    <row r="5">
      <c r="A5" s="18">
        <v>78.0</v>
      </c>
      <c r="B5" s="19">
        <v>44079.0</v>
      </c>
      <c r="C5" s="20">
        <v>0.4270833333333333</v>
      </c>
      <c r="D5" s="19">
        <v>44079.0</v>
      </c>
      <c r="E5" s="20">
        <v>0.7861111111111111</v>
      </c>
      <c r="F5" s="20">
        <v>0.3590277777777778</v>
      </c>
      <c r="G5" s="39"/>
      <c r="H5" s="22">
        <v>40.0</v>
      </c>
      <c r="I5" s="21" t="s">
        <v>18</v>
      </c>
      <c r="J5" s="23" t="s">
        <v>66</v>
      </c>
      <c r="K5" s="25"/>
      <c r="L5" s="25"/>
    </row>
    <row r="6">
      <c r="A6" s="18">
        <v>114.0</v>
      </c>
      <c r="B6" s="19">
        <v>44079.0</v>
      </c>
      <c r="C6" s="20">
        <v>0.3611111111111111</v>
      </c>
      <c r="D6" s="19">
        <v>44079.0</v>
      </c>
      <c r="E6" s="20">
        <v>0.7236111111111111</v>
      </c>
      <c r="F6" s="20">
        <v>0.3625</v>
      </c>
      <c r="G6" s="27" t="s">
        <v>67</v>
      </c>
      <c r="H6" s="22">
        <v>40.0</v>
      </c>
      <c r="I6" s="27" t="s">
        <v>18</v>
      </c>
      <c r="J6" s="21" t="s">
        <v>68</v>
      </c>
      <c r="K6" s="29"/>
      <c r="L6" s="29"/>
    </row>
    <row r="7">
      <c r="A7" s="18">
        <v>91.0</v>
      </c>
      <c r="B7" s="19">
        <v>44079.0</v>
      </c>
      <c r="C7" s="20">
        <v>0.3541666666666667</v>
      </c>
      <c r="D7" s="19">
        <v>44079.0</v>
      </c>
      <c r="E7" s="20">
        <v>0.7465277777777778</v>
      </c>
      <c r="F7" s="20">
        <v>0.3923611111111111</v>
      </c>
      <c r="G7" s="21" t="s">
        <v>86</v>
      </c>
      <c r="H7" s="22">
        <v>40.0</v>
      </c>
      <c r="I7" s="21" t="s">
        <v>18</v>
      </c>
      <c r="J7" s="23" t="s">
        <v>87</v>
      </c>
      <c r="K7" s="23" t="s">
        <v>88</v>
      </c>
      <c r="L7" s="25"/>
    </row>
    <row r="8">
      <c r="A8" s="18">
        <v>63.0</v>
      </c>
      <c r="B8" s="19">
        <v>44079.0</v>
      </c>
      <c r="C8" s="20">
        <v>0.5236111111111111</v>
      </c>
      <c r="D8" s="19">
        <v>44079.0</v>
      </c>
      <c r="E8" s="20">
        <v>0.9215277777777777</v>
      </c>
      <c r="F8" s="20">
        <v>0.39791666666666664</v>
      </c>
      <c r="G8" s="39"/>
      <c r="H8" s="22">
        <v>40.0</v>
      </c>
      <c r="I8" s="21" t="s">
        <v>18</v>
      </c>
      <c r="J8" s="23" t="s">
        <v>91</v>
      </c>
      <c r="K8" s="25"/>
      <c r="L8" s="25"/>
    </row>
    <row r="9">
      <c r="A9" s="18">
        <v>42.0</v>
      </c>
      <c r="B9" s="19">
        <v>44079.0</v>
      </c>
      <c r="C9" s="20">
        <v>0.3770833333333333</v>
      </c>
      <c r="D9" s="19">
        <v>44079.0</v>
      </c>
      <c r="E9" s="20">
        <v>0.7777777777777778</v>
      </c>
      <c r="F9" s="20">
        <v>0.40069444444444446</v>
      </c>
      <c r="G9" s="36" t="s">
        <v>92</v>
      </c>
      <c r="H9" s="37">
        <v>40.0</v>
      </c>
      <c r="I9" s="21" t="s">
        <v>18</v>
      </c>
      <c r="J9" s="23" t="s">
        <v>93</v>
      </c>
      <c r="K9" s="23" t="s">
        <v>94</v>
      </c>
      <c r="L9" s="25"/>
    </row>
    <row r="10">
      <c r="A10" s="18">
        <v>48.0</v>
      </c>
      <c r="B10" s="19">
        <v>44079.0</v>
      </c>
      <c r="C10" s="20">
        <v>0.3333333333333333</v>
      </c>
      <c r="D10" s="19">
        <v>44079.0</v>
      </c>
      <c r="E10" s="20">
        <v>0.7458333333333333</v>
      </c>
      <c r="F10" s="20">
        <v>0.4125</v>
      </c>
      <c r="G10" s="21" t="s">
        <v>97</v>
      </c>
      <c r="H10" s="22">
        <v>40.0</v>
      </c>
      <c r="I10" s="21" t="s">
        <v>18</v>
      </c>
      <c r="J10" s="23" t="s">
        <v>98</v>
      </c>
      <c r="K10" s="25"/>
      <c r="L10" s="25"/>
    </row>
    <row r="11">
      <c r="A11" s="18">
        <v>112.0</v>
      </c>
      <c r="B11" s="19">
        <v>44079.0</v>
      </c>
      <c r="C11" s="20">
        <v>0.3333333333333333</v>
      </c>
      <c r="D11" s="19">
        <v>44079.0</v>
      </c>
      <c r="E11" s="20">
        <v>0.7458333333333333</v>
      </c>
      <c r="F11" s="20">
        <v>0.4125</v>
      </c>
      <c r="G11" s="29"/>
      <c r="H11" s="22">
        <v>40.0</v>
      </c>
      <c r="I11" s="27" t="s">
        <v>18</v>
      </c>
      <c r="J11" s="21" t="s">
        <v>99</v>
      </c>
      <c r="K11" s="29"/>
      <c r="L11" s="29"/>
    </row>
    <row r="12">
      <c r="A12" s="52">
        <v>11.0</v>
      </c>
      <c r="B12" s="53">
        <v>44079.0</v>
      </c>
      <c r="C12" s="54">
        <v>0.3402777777777778</v>
      </c>
      <c r="D12" s="55">
        <v>44079.0</v>
      </c>
      <c r="E12" s="56">
        <v>0.7569444444444444</v>
      </c>
      <c r="F12" s="56">
        <v>0.4166666666666667</v>
      </c>
      <c r="G12" s="57" t="s">
        <v>197</v>
      </c>
      <c r="H12" s="58">
        <v>40.0</v>
      </c>
      <c r="I12" s="57" t="s">
        <v>18</v>
      </c>
      <c r="J12" s="59" t="s">
        <v>198</v>
      </c>
      <c r="K12" s="72"/>
      <c r="L12" s="25"/>
    </row>
    <row r="13">
      <c r="A13" s="18">
        <v>94.0</v>
      </c>
      <c r="B13" s="19">
        <v>44079.0</v>
      </c>
      <c r="C13" s="20">
        <v>0.3527777777777778</v>
      </c>
      <c r="D13" s="19">
        <v>44079.0</v>
      </c>
      <c r="E13" s="20">
        <v>0.7784722222222222</v>
      </c>
      <c r="F13" s="20">
        <v>0.42569444444444443</v>
      </c>
      <c r="G13" s="21" t="s">
        <v>100</v>
      </c>
      <c r="H13" s="22">
        <v>40.0</v>
      </c>
      <c r="I13" s="21" t="s">
        <v>18</v>
      </c>
      <c r="J13" s="23" t="s">
        <v>101</v>
      </c>
      <c r="K13" s="23" t="s">
        <v>102</v>
      </c>
      <c r="L13" s="25"/>
    </row>
    <row r="14">
      <c r="A14" s="18">
        <v>95.0</v>
      </c>
      <c r="B14" s="19">
        <v>44079.0</v>
      </c>
      <c r="C14" s="20">
        <v>0.3527777777777778</v>
      </c>
      <c r="D14" s="19">
        <v>44079.0</v>
      </c>
      <c r="E14" s="20">
        <v>0.7784722222222222</v>
      </c>
      <c r="F14" s="20">
        <v>0.42569444444444443</v>
      </c>
      <c r="G14" s="21" t="s">
        <v>103</v>
      </c>
      <c r="H14" s="22">
        <v>40.0</v>
      </c>
      <c r="I14" s="21" t="s">
        <v>18</v>
      </c>
      <c r="J14" s="23" t="s">
        <v>104</v>
      </c>
      <c r="K14" s="23" t="s">
        <v>105</v>
      </c>
      <c r="L14" s="25"/>
    </row>
    <row r="15">
      <c r="A15" s="18">
        <v>79.0</v>
      </c>
      <c r="B15" s="19">
        <v>44078.0</v>
      </c>
      <c r="C15" s="20">
        <v>0.96875</v>
      </c>
      <c r="D15" s="19">
        <v>44079.0</v>
      </c>
      <c r="E15" s="20">
        <v>0.39861111111111114</v>
      </c>
      <c r="F15" s="20">
        <v>0.42986111111111114</v>
      </c>
      <c r="G15" s="21" t="s">
        <v>108</v>
      </c>
      <c r="H15" s="22">
        <v>40.0</v>
      </c>
      <c r="I15" s="21" t="s">
        <v>109</v>
      </c>
      <c r="J15" s="21" t="s">
        <v>110</v>
      </c>
      <c r="K15" s="39"/>
      <c r="L15" s="39"/>
    </row>
    <row r="16">
      <c r="A16" s="18">
        <v>3.0</v>
      </c>
      <c r="B16" s="19">
        <v>44079.0</v>
      </c>
      <c r="C16" s="20">
        <v>0.36319444444444443</v>
      </c>
      <c r="D16" s="19">
        <v>44079.0</v>
      </c>
      <c r="E16" s="20">
        <v>0.8027777777777778</v>
      </c>
      <c r="F16" s="20">
        <v>0.4395833333333333</v>
      </c>
      <c r="G16" s="21" t="s">
        <v>58</v>
      </c>
      <c r="H16" s="22">
        <v>40.0</v>
      </c>
      <c r="I16" s="21" t="s">
        <v>18</v>
      </c>
      <c r="J16" s="23" t="s">
        <v>111</v>
      </c>
      <c r="K16" s="25"/>
      <c r="L16" s="25"/>
    </row>
    <row r="17">
      <c r="A17" s="18">
        <v>73.0</v>
      </c>
      <c r="B17" s="19">
        <v>44079.0</v>
      </c>
      <c r="C17" s="20">
        <v>0.36319444444444443</v>
      </c>
      <c r="D17" s="19">
        <v>44079.0</v>
      </c>
      <c r="E17" s="20">
        <v>0.8027777777777778</v>
      </c>
      <c r="F17" s="20">
        <v>0.4395833333333333</v>
      </c>
      <c r="G17" s="39"/>
      <c r="H17" s="22">
        <v>40.0</v>
      </c>
      <c r="I17" s="21" t="s">
        <v>18</v>
      </c>
      <c r="J17" s="23" t="s">
        <v>112</v>
      </c>
      <c r="K17" s="25"/>
      <c r="L17" s="25"/>
    </row>
    <row r="18">
      <c r="A18" s="18">
        <v>30.0</v>
      </c>
      <c r="B18" s="19">
        <v>44079.0</v>
      </c>
      <c r="C18" s="20">
        <v>0.29791666666666666</v>
      </c>
      <c r="D18" s="19">
        <v>44079.0</v>
      </c>
      <c r="E18" s="20">
        <v>0.7458333333333333</v>
      </c>
      <c r="F18" s="20">
        <v>0.4479166666666667</v>
      </c>
      <c r="G18" s="39"/>
      <c r="H18" s="22">
        <v>40.0</v>
      </c>
      <c r="I18" s="21" t="s">
        <v>18</v>
      </c>
      <c r="J18" s="59" t="s">
        <v>113</v>
      </c>
      <c r="K18" s="25"/>
      <c r="L18" s="25"/>
    </row>
    <row r="19">
      <c r="A19" s="18">
        <v>47.0</v>
      </c>
      <c r="B19" s="19">
        <v>44079.0</v>
      </c>
      <c r="C19" s="20">
        <v>0.4708333333333333</v>
      </c>
      <c r="D19" s="19">
        <v>44079.0</v>
      </c>
      <c r="E19" s="20">
        <v>0.9729166666666667</v>
      </c>
      <c r="F19" s="20">
        <v>0.5020833333333333</v>
      </c>
      <c r="G19" s="73"/>
      <c r="H19" s="22">
        <v>30.0</v>
      </c>
      <c r="I19" s="21" t="s">
        <v>18</v>
      </c>
      <c r="J19" s="59" t="s">
        <v>114</v>
      </c>
      <c r="K19" s="25"/>
      <c r="L19" s="25"/>
    </row>
    <row r="20">
      <c r="A20" s="18">
        <v>67.0</v>
      </c>
      <c r="B20" s="19">
        <v>44079.0</v>
      </c>
      <c r="C20" s="20">
        <v>0.41597222222222224</v>
      </c>
      <c r="D20" s="19">
        <v>44079.0</v>
      </c>
      <c r="E20" s="20">
        <v>0.9222222222222223</v>
      </c>
      <c r="F20" s="20">
        <v>0.50625</v>
      </c>
      <c r="G20" s="21" t="s">
        <v>118</v>
      </c>
      <c r="H20" s="22">
        <v>40.0</v>
      </c>
      <c r="I20" s="21" t="s">
        <v>18</v>
      </c>
      <c r="J20" s="23" t="s">
        <v>119</v>
      </c>
      <c r="K20" s="23" t="s">
        <v>120</v>
      </c>
      <c r="L20" s="23" t="s">
        <v>121</v>
      </c>
    </row>
    <row r="21">
      <c r="A21" s="18">
        <v>103.0</v>
      </c>
      <c r="B21" s="19">
        <v>44078.0</v>
      </c>
      <c r="C21" s="20">
        <v>0.8534722222222222</v>
      </c>
      <c r="D21" s="19">
        <v>44079.0</v>
      </c>
      <c r="E21" s="20">
        <v>0.3638888888888889</v>
      </c>
      <c r="F21" s="20">
        <v>0.5104166666666666</v>
      </c>
      <c r="G21" s="27" t="s">
        <v>122</v>
      </c>
      <c r="H21" s="22">
        <v>40.0</v>
      </c>
      <c r="I21" s="27" t="s">
        <v>109</v>
      </c>
      <c r="J21" s="27" t="s">
        <v>123</v>
      </c>
      <c r="K21" s="27" t="s">
        <v>124</v>
      </c>
      <c r="L21" s="29"/>
    </row>
    <row r="22">
      <c r="A22" s="18">
        <v>45.0</v>
      </c>
      <c r="B22" s="19">
        <v>44079.0</v>
      </c>
      <c r="C22" s="20">
        <v>0.41388888888888886</v>
      </c>
      <c r="D22" s="19">
        <v>44079.0</v>
      </c>
      <c r="E22" s="20">
        <v>0.9444444444444444</v>
      </c>
      <c r="F22" s="20">
        <v>0.5305555555555556</v>
      </c>
      <c r="G22" s="21" t="s">
        <v>125</v>
      </c>
      <c r="H22" s="22">
        <v>40.0</v>
      </c>
      <c r="I22" s="21" t="s">
        <v>18</v>
      </c>
      <c r="J22" s="23" t="s">
        <v>126</v>
      </c>
      <c r="K22" s="25"/>
      <c r="L22" s="25"/>
    </row>
    <row r="23">
      <c r="A23" s="40">
        <v>90.0</v>
      </c>
      <c r="B23" s="41">
        <v>44079.0</v>
      </c>
      <c r="C23" s="42">
        <v>0.5611111111111111</v>
      </c>
      <c r="D23" s="41">
        <v>44080.0</v>
      </c>
      <c r="E23" s="42">
        <v>0.15347222222222223</v>
      </c>
      <c r="F23" s="42">
        <v>0.5923611111111111</v>
      </c>
      <c r="G23" s="21" t="s">
        <v>144</v>
      </c>
      <c r="H23" s="22">
        <v>40.0</v>
      </c>
      <c r="I23" s="21" t="s">
        <v>18</v>
      </c>
      <c r="J23" s="23" t="s">
        <v>145</v>
      </c>
      <c r="K23" s="23" t="s">
        <v>146</v>
      </c>
      <c r="L23" s="25"/>
    </row>
    <row r="24">
      <c r="A24" s="18">
        <v>84.0</v>
      </c>
      <c r="B24" s="19">
        <v>44079.0</v>
      </c>
      <c r="C24" s="20">
        <v>0.4270833333333333</v>
      </c>
      <c r="D24" s="19">
        <v>44080.0</v>
      </c>
      <c r="E24" s="20">
        <v>0.09166666666666666</v>
      </c>
      <c r="F24" s="20">
        <v>0.6645833333333333</v>
      </c>
      <c r="G24" s="21" t="s">
        <v>152</v>
      </c>
      <c r="H24" s="22">
        <v>40.0</v>
      </c>
      <c r="I24" s="21" t="s">
        <v>18</v>
      </c>
      <c r="J24" s="23" t="s">
        <v>153</v>
      </c>
      <c r="K24" s="25"/>
      <c r="L24" s="25"/>
    </row>
    <row r="25">
      <c r="A25" s="18">
        <v>76.0</v>
      </c>
      <c r="B25" s="19">
        <v>44079.0</v>
      </c>
      <c r="C25" s="20">
        <v>0.38333333333333336</v>
      </c>
      <c r="D25" s="19">
        <v>44080.0</v>
      </c>
      <c r="E25" s="20">
        <v>0.09722222222222222</v>
      </c>
      <c r="F25" s="20">
        <v>0.7138888888888889</v>
      </c>
      <c r="G25" s="21" t="s">
        <v>154</v>
      </c>
      <c r="H25" s="22">
        <v>40.0</v>
      </c>
      <c r="I25" s="21" t="s">
        <v>18</v>
      </c>
      <c r="J25" s="23" t="s">
        <v>155</v>
      </c>
      <c r="K25" s="23" t="s">
        <v>156</v>
      </c>
      <c r="L25" s="23" t="s">
        <v>157</v>
      </c>
    </row>
    <row r="26">
      <c r="A26" s="40">
        <v>107.0</v>
      </c>
      <c r="B26" s="41">
        <v>44078.0</v>
      </c>
      <c r="C26" s="42">
        <v>0.9444444444444444</v>
      </c>
      <c r="D26" s="41">
        <v>44080.0</v>
      </c>
      <c r="E26" s="42">
        <v>0.09722222222222222</v>
      </c>
      <c r="F26" s="47">
        <v>1.1527777777777777</v>
      </c>
      <c r="G26" s="27" t="s">
        <v>176</v>
      </c>
      <c r="H26" s="22">
        <v>40.0</v>
      </c>
      <c r="I26" s="27" t="s">
        <v>109</v>
      </c>
      <c r="J26" s="27" t="s">
        <v>177</v>
      </c>
      <c r="K26" s="29"/>
      <c r="L26" s="29"/>
    </row>
    <row r="27">
      <c r="A27" s="18">
        <v>86.0</v>
      </c>
      <c r="B27" s="19">
        <v>44079.0</v>
      </c>
      <c r="C27" s="20">
        <v>0.3798611111111111</v>
      </c>
      <c r="D27" s="19">
        <v>44079.0</v>
      </c>
      <c r="E27" s="43" t="s">
        <v>202</v>
      </c>
      <c r="F27" s="51" t="s">
        <v>195</v>
      </c>
      <c r="G27" s="21" t="s">
        <v>203</v>
      </c>
      <c r="H27" s="22">
        <v>40.0</v>
      </c>
      <c r="I27" s="21" t="s">
        <v>18</v>
      </c>
      <c r="J27" s="23" t="s">
        <v>204</v>
      </c>
      <c r="K27" s="23" t="s">
        <v>205</v>
      </c>
      <c r="L27" s="25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7" max="7" width="26.0"/>
    <col customWidth="1" min="10" max="12" width="22.86"/>
  </cols>
  <sheetData>
    <row r="1" ht="36.0" customHeight="1">
      <c r="A1" s="66" t="s">
        <v>8</v>
      </c>
      <c r="B1" s="67" t="s">
        <v>9</v>
      </c>
      <c r="C1" s="67" t="s">
        <v>10</v>
      </c>
      <c r="D1" s="67" t="s">
        <v>11</v>
      </c>
      <c r="E1" s="67" t="s">
        <v>12</v>
      </c>
      <c r="F1" s="68" t="s">
        <v>13</v>
      </c>
      <c r="G1" s="69" t="s">
        <v>1</v>
      </c>
      <c r="H1" s="70" t="s">
        <v>14</v>
      </c>
      <c r="I1" s="69" t="s">
        <v>15</v>
      </c>
      <c r="J1" s="71" t="s">
        <v>16</v>
      </c>
      <c r="K1" s="71" t="s">
        <v>5</v>
      </c>
      <c r="L1" s="71" t="s">
        <v>6</v>
      </c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>
      <c r="A2" s="18">
        <v>99.0</v>
      </c>
      <c r="B2" s="19">
        <v>44079.0</v>
      </c>
      <c r="C2" s="20">
        <v>0.49027777777777776</v>
      </c>
      <c r="D2" s="19">
        <v>44079.0</v>
      </c>
      <c r="E2" s="20">
        <v>0.8979166666666667</v>
      </c>
      <c r="F2" s="20">
        <v>0.4076388888888889</v>
      </c>
      <c r="G2" s="21" t="s">
        <v>95</v>
      </c>
      <c r="H2" s="22">
        <v>60.0</v>
      </c>
      <c r="I2" s="21" t="s">
        <v>18</v>
      </c>
      <c r="J2" s="21" t="s">
        <v>96</v>
      </c>
      <c r="K2" s="39"/>
      <c r="L2" s="39"/>
    </row>
    <row r="3">
      <c r="A3" s="18">
        <v>43.0</v>
      </c>
      <c r="B3" s="19">
        <v>44079.0</v>
      </c>
      <c r="C3" s="20">
        <v>0.3236111111111111</v>
      </c>
      <c r="D3" s="19">
        <v>44079.0</v>
      </c>
      <c r="E3" s="20">
        <v>0.7527777777777778</v>
      </c>
      <c r="F3" s="20">
        <v>0.42916666666666664</v>
      </c>
      <c r="G3" s="21" t="s">
        <v>106</v>
      </c>
      <c r="H3" s="22">
        <v>60.0</v>
      </c>
      <c r="I3" s="21" t="s">
        <v>18</v>
      </c>
      <c r="J3" s="23" t="s">
        <v>107</v>
      </c>
      <c r="K3" s="25"/>
      <c r="L3" s="25"/>
    </row>
    <row r="4">
      <c r="A4" s="18">
        <v>1.0</v>
      </c>
      <c r="B4" s="19">
        <v>44079.0</v>
      </c>
      <c r="C4" s="20">
        <v>0.3715277777777778</v>
      </c>
      <c r="D4" s="19">
        <v>44079.0</v>
      </c>
      <c r="E4" s="20">
        <v>0.9145833333333333</v>
      </c>
      <c r="F4" s="20">
        <v>0.5430555555555555</v>
      </c>
      <c r="G4" s="21" t="s">
        <v>127</v>
      </c>
      <c r="H4" s="22">
        <v>60.0</v>
      </c>
      <c r="I4" s="21" t="s">
        <v>18</v>
      </c>
      <c r="J4" s="23" t="s">
        <v>128</v>
      </c>
      <c r="K4" s="23" t="s">
        <v>129</v>
      </c>
      <c r="L4" s="25"/>
    </row>
    <row r="5">
      <c r="A5" s="18">
        <v>72.0</v>
      </c>
      <c r="B5" s="19">
        <v>44079.0</v>
      </c>
      <c r="C5" s="20">
        <v>0.3763888888888889</v>
      </c>
      <c r="D5" s="19">
        <v>44079.0</v>
      </c>
      <c r="E5" s="20">
        <v>0.9201388888888888</v>
      </c>
      <c r="F5" s="20">
        <v>0.54375</v>
      </c>
      <c r="G5" s="21" t="s">
        <v>130</v>
      </c>
      <c r="H5" s="22">
        <v>60.0</v>
      </c>
      <c r="I5" s="21" t="s">
        <v>18</v>
      </c>
      <c r="J5" s="23" t="s">
        <v>131</v>
      </c>
      <c r="K5" s="23" t="s">
        <v>132</v>
      </c>
      <c r="L5" s="25"/>
    </row>
    <row r="6">
      <c r="A6" s="18">
        <v>109.0</v>
      </c>
      <c r="B6" s="19">
        <v>44079.0</v>
      </c>
      <c r="C6" s="20">
        <v>0.32222222222222224</v>
      </c>
      <c r="D6" s="19">
        <v>44079.0</v>
      </c>
      <c r="E6" s="20">
        <v>0.8958333333333334</v>
      </c>
      <c r="F6" s="20">
        <v>0.5736111111111111</v>
      </c>
      <c r="G6" s="27" t="s">
        <v>136</v>
      </c>
      <c r="H6" s="22">
        <v>60.0</v>
      </c>
      <c r="I6" s="27" t="s">
        <v>18</v>
      </c>
      <c r="J6" s="23" t="s">
        <v>137</v>
      </c>
      <c r="K6" s="27" t="s">
        <v>138</v>
      </c>
      <c r="L6" s="27" t="s">
        <v>139</v>
      </c>
    </row>
    <row r="7">
      <c r="A7" s="18">
        <v>22.0</v>
      </c>
      <c r="B7" s="19">
        <v>44078.0</v>
      </c>
      <c r="C7" s="20">
        <v>0.9604166666666667</v>
      </c>
      <c r="D7" s="19">
        <v>44079.0</v>
      </c>
      <c r="E7" s="20">
        <v>0.5451388888888888</v>
      </c>
      <c r="F7" s="20">
        <v>0.5847222222222223</v>
      </c>
      <c r="G7" s="39"/>
      <c r="H7" s="22">
        <v>60.0</v>
      </c>
      <c r="I7" s="21" t="s">
        <v>109</v>
      </c>
      <c r="J7" s="23" t="s">
        <v>140</v>
      </c>
      <c r="K7" s="39"/>
      <c r="L7" s="39"/>
    </row>
    <row r="8">
      <c r="A8" s="74">
        <v>122.0</v>
      </c>
      <c r="B8" s="75">
        <v>44079.0</v>
      </c>
      <c r="C8" s="56">
        <v>0.325</v>
      </c>
      <c r="D8" s="75">
        <v>44079.0</v>
      </c>
      <c r="E8" s="56">
        <v>0.9097222222222222</v>
      </c>
      <c r="F8" s="76">
        <v>0.5847222222222223</v>
      </c>
      <c r="G8" s="77">
        <v>60.0</v>
      </c>
      <c r="H8" s="78"/>
      <c r="I8" s="79" t="s">
        <v>200</v>
      </c>
      <c r="J8" s="23"/>
      <c r="K8" s="23"/>
      <c r="L8" s="25"/>
    </row>
    <row r="9">
      <c r="A9" s="18">
        <v>80.0</v>
      </c>
      <c r="B9" s="19">
        <v>44079.0</v>
      </c>
      <c r="C9" s="20">
        <v>0.4534722222222222</v>
      </c>
      <c r="D9" s="19">
        <v>44080.0</v>
      </c>
      <c r="E9" s="20">
        <v>0.041666666666666664</v>
      </c>
      <c r="F9" s="20">
        <v>0.5881944444444445</v>
      </c>
      <c r="G9" s="21" t="s">
        <v>141</v>
      </c>
      <c r="H9" s="22">
        <v>60.0</v>
      </c>
      <c r="I9" s="21" t="s">
        <v>18</v>
      </c>
      <c r="J9" s="23" t="s">
        <v>142</v>
      </c>
      <c r="K9" s="23" t="s">
        <v>143</v>
      </c>
      <c r="L9" s="25"/>
    </row>
    <row r="10">
      <c r="A10" s="52">
        <v>46.0</v>
      </c>
      <c r="B10" s="55">
        <v>44078.0</v>
      </c>
      <c r="C10" s="56">
        <v>0.8944444444444445</v>
      </c>
      <c r="D10" s="55">
        <v>44079.0</v>
      </c>
      <c r="E10" s="56">
        <v>0.4930555555555556</v>
      </c>
      <c r="F10" s="56">
        <v>0.5986111111111111</v>
      </c>
      <c r="G10" s="29"/>
      <c r="H10" s="80">
        <v>60.0</v>
      </c>
      <c r="I10" s="44" t="s">
        <v>109</v>
      </c>
      <c r="J10" s="44" t="s">
        <v>196</v>
      </c>
      <c r="K10" s="29"/>
      <c r="L10" s="29"/>
    </row>
    <row r="11">
      <c r="A11" s="18">
        <v>113.0</v>
      </c>
      <c r="B11" s="19">
        <v>44079.0</v>
      </c>
      <c r="C11" s="20">
        <v>0.32916666666666666</v>
      </c>
      <c r="D11" s="19">
        <v>44079.0</v>
      </c>
      <c r="E11" s="20">
        <v>0.9375</v>
      </c>
      <c r="F11" s="20">
        <v>0.6083333333333333</v>
      </c>
      <c r="G11" s="29"/>
      <c r="H11" s="22">
        <v>60.0</v>
      </c>
      <c r="I11" s="27" t="s">
        <v>18</v>
      </c>
      <c r="J11" s="23" t="s">
        <v>147</v>
      </c>
      <c r="K11" s="29"/>
      <c r="L11" s="29"/>
    </row>
    <row r="12">
      <c r="A12" s="18">
        <v>9.0</v>
      </c>
      <c r="B12" s="19">
        <v>44079.0</v>
      </c>
      <c r="C12" s="20">
        <v>0.34930555555555554</v>
      </c>
      <c r="D12" s="19">
        <v>44080.0</v>
      </c>
      <c r="E12" s="20">
        <v>0.009027777777777777</v>
      </c>
      <c r="F12" s="20">
        <v>0.6597222222222222</v>
      </c>
      <c r="G12" s="39"/>
      <c r="H12" s="22">
        <v>60.0</v>
      </c>
      <c r="I12" s="21" t="s">
        <v>18</v>
      </c>
      <c r="J12" s="23" t="s">
        <v>151</v>
      </c>
      <c r="K12" s="25"/>
      <c r="L12" s="25"/>
    </row>
    <row r="13">
      <c r="A13" s="40">
        <v>87.0</v>
      </c>
      <c r="B13" s="41">
        <v>44079.0</v>
      </c>
      <c r="C13" s="42">
        <v>0.9097222222222222</v>
      </c>
      <c r="D13" s="41">
        <v>44080.0</v>
      </c>
      <c r="E13" s="42">
        <v>0.64375</v>
      </c>
      <c r="F13" s="42">
        <v>0.7340277777777777</v>
      </c>
      <c r="G13" s="21" t="s">
        <v>158</v>
      </c>
      <c r="H13" s="22">
        <v>60.0</v>
      </c>
      <c r="I13" s="21" t="s">
        <v>109</v>
      </c>
      <c r="J13" s="21" t="s">
        <v>159</v>
      </c>
      <c r="K13" s="39"/>
      <c r="L13" s="39"/>
    </row>
    <row r="14">
      <c r="A14" s="52">
        <v>34.0</v>
      </c>
      <c r="B14" s="81">
        <v>44078.0</v>
      </c>
      <c r="C14" s="82">
        <v>0.8708333333333333</v>
      </c>
      <c r="D14" s="81">
        <v>44079.0</v>
      </c>
      <c r="E14" s="82">
        <v>0.7763888888888889</v>
      </c>
      <c r="F14" s="82">
        <v>0.9055555555555556</v>
      </c>
      <c r="G14" s="44" t="s">
        <v>162</v>
      </c>
      <c r="H14" s="80">
        <v>60.0</v>
      </c>
      <c r="I14" s="44" t="s">
        <v>109</v>
      </c>
      <c r="J14" s="44" t="s">
        <v>163</v>
      </c>
      <c r="K14" s="83"/>
      <c r="L14" s="83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7" max="7" width="29.0"/>
    <col customWidth="1" min="9" max="9" width="18.86"/>
    <col customWidth="1" min="10" max="10" width="21.43"/>
    <col customWidth="1" min="11" max="11" width="22.29"/>
  </cols>
  <sheetData>
    <row r="1" ht="36.0" customHeight="1">
      <c r="A1" s="11" t="s">
        <v>8</v>
      </c>
      <c r="B1" s="12" t="s">
        <v>9</v>
      </c>
      <c r="C1" s="12" t="s">
        <v>10</v>
      </c>
      <c r="D1" s="12" t="s">
        <v>11</v>
      </c>
      <c r="E1" s="12" t="s">
        <v>12</v>
      </c>
      <c r="F1" s="13" t="s">
        <v>13</v>
      </c>
      <c r="G1" s="14" t="s">
        <v>1</v>
      </c>
      <c r="H1" s="15" t="s">
        <v>14</v>
      </c>
      <c r="I1" s="14" t="s">
        <v>15</v>
      </c>
      <c r="J1" s="16" t="s">
        <v>16</v>
      </c>
      <c r="K1" s="16" t="s">
        <v>5</v>
      </c>
      <c r="L1" s="16" t="s">
        <v>6</v>
      </c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>
      <c r="A2" s="18">
        <v>64.0</v>
      </c>
      <c r="B2" s="19">
        <v>44078.0</v>
      </c>
      <c r="C2" s="20">
        <v>0.9604166666666667</v>
      </c>
      <c r="D2" s="19">
        <v>44079.0</v>
      </c>
      <c r="E2" s="20">
        <v>0.7361111111111112</v>
      </c>
      <c r="F2" s="20">
        <v>0.7756944444444445</v>
      </c>
      <c r="G2" s="21" t="s">
        <v>160</v>
      </c>
      <c r="H2" s="22">
        <v>100.0</v>
      </c>
      <c r="I2" s="21" t="s">
        <v>109</v>
      </c>
      <c r="J2" s="21" t="s">
        <v>161</v>
      </c>
      <c r="K2" s="21"/>
      <c r="L2" s="39"/>
    </row>
    <row r="3">
      <c r="A3" s="18">
        <v>28.0</v>
      </c>
      <c r="B3" s="19">
        <v>44078.0</v>
      </c>
      <c r="C3" s="20">
        <v>0.8958333333333334</v>
      </c>
      <c r="D3" s="19">
        <v>44079.0</v>
      </c>
      <c r="E3" s="20">
        <v>0.8104166666666667</v>
      </c>
      <c r="F3" s="20">
        <v>0.9145833333333333</v>
      </c>
      <c r="G3" s="21" t="s">
        <v>164</v>
      </c>
      <c r="H3" s="22">
        <v>100.0</v>
      </c>
      <c r="I3" s="21" t="s">
        <v>109</v>
      </c>
      <c r="J3" s="21" t="s">
        <v>165</v>
      </c>
      <c r="K3" s="21"/>
      <c r="L3" s="39"/>
    </row>
    <row r="4">
      <c r="A4" s="18">
        <v>19.0</v>
      </c>
      <c r="B4" s="19">
        <v>44079.0</v>
      </c>
      <c r="C4" s="20">
        <v>0.3263888888888889</v>
      </c>
      <c r="D4" s="19">
        <v>44080.0</v>
      </c>
      <c r="E4" s="20">
        <v>0.2701388888888889</v>
      </c>
      <c r="F4" s="20">
        <v>0.94375</v>
      </c>
      <c r="G4" s="39"/>
      <c r="H4" s="22">
        <v>100.0</v>
      </c>
      <c r="I4" s="21" t="s">
        <v>18</v>
      </c>
      <c r="J4" s="21" t="s">
        <v>166</v>
      </c>
      <c r="K4" s="21"/>
      <c r="L4" s="25"/>
    </row>
    <row r="5">
      <c r="A5" s="18">
        <v>33.0</v>
      </c>
      <c r="B5" s="19">
        <v>44079.0</v>
      </c>
      <c r="C5" s="20">
        <v>0.2548611111111111</v>
      </c>
      <c r="D5" s="19">
        <v>44080.0</v>
      </c>
      <c r="E5" s="20">
        <v>0.20069444444444445</v>
      </c>
      <c r="F5" s="20">
        <v>0.9458333333333333</v>
      </c>
      <c r="G5" s="73"/>
      <c r="H5" s="22">
        <v>100.0</v>
      </c>
      <c r="I5" s="21" t="s">
        <v>18</v>
      </c>
      <c r="J5" s="21" t="s">
        <v>167</v>
      </c>
      <c r="K5" s="21"/>
      <c r="L5" s="25"/>
    </row>
    <row r="6">
      <c r="A6" s="18">
        <v>35.0</v>
      </c>
      <c r="B6" s="19">
        <v>44079.0</v>
      </c>
      <c r="C6" s="20">
        <v>0.2548611111111111</v>
      </c>
      <c r="D6" s="19">
        <v>44080.0</v>
      </c>
      <c r="E6" s="20">
        <v>0.20069444444444445</v>
      </c>
      <c r="F6" s="45">
        <v>0.9458333333333333</v>
      </c>
      <c r="G6" s="73"/>
      <c r="H6" s="22">
        <v>100.0</v>
      </c>
      <c r="I6" s="21" t="s">
        <v>18</v>
      </c>
      <c r="J6" s="21" t="s">
        <v>168</v>
      </c>
      <c r="K6" s="21"/>
      <c r="L6" s="25"/>
    </row>
    <row r="7">
      <c r="A7" s="18">
        <v>6.0</v>
      </c>
      <c r="B7" s="19">
        <v>44078.0</v>
      </c>
      <c r="C7" s="20">
        <v>0.9444444444444444</v>
      </c>
      <c r="D7" s="19">
        <v>44079.0</v>
      </c>
      <c r="E7" s="20">
        <v>0.9444444444444444</v>
      </c>
      <c r="F7" s="45">
        <v>1.0</v>
      </c>
      <c r="G7" s="21" t="s">
        <v>169</v>
      </c>
      <c r="H7" s="22">
        <v>100.0</v>
      </c>
      <c r="I7" s="21" t="s">
        <v>109</v>
      </c>
      <c r="J7" s="21" t="s">
        <v>170</v>
      </c>
      <c r="K7" s="21"/>
      <c r="L7" s="39"/>
    </row>
    <row r="8">
      <c r="A8" s="18">
        <v>68.0</v>
      </c>
      <c r="B8" s="19">
        <v>44079.0</v>
      </c>
      <c r="C8" s="20">
        <v>0.3763888888888889</v>
      </c>
      <c r="D8" s="19">
        <v>44080.0</v>
      </c>
      <c r="E8" s="20">
        <v>0.4166666666666667</v>
      </c>
      <c r="F8" s="45">
        <v>1.0402777777777779</v>
      </c>
      <c r="G8" s="21" t="s">
        <v>171</v>
      </c>
      <c r="H8" s="22">
        <v>100.0</v>
      </c>
      <c r="I8" s="21" t="s">
        <v>18</v>
      </c>
      <c r="J8" s="21" t="s">
        <v>172</v>
      </c>
      <c r="K8" s="21"/>
      <c r="L8" s="25"/>
    </row>
    <row r="9">
      <c r="A9" s="18">
        <v>40.0</v>
      </c>
      <c r="B9" s="19">
        <v>44079.0</v>
      </c>
      <c r="C9" s="20">
        <v>0.43333333333333335</v>
      </c>
      <c r="D9" s="19">
        <v>44080.0</v>
      </c>
      <c r="E9" s="20">
        <v>0.5027777777777778</v>
      </c>
      <c r="F9" s="45">
        <v>1.0694444444444444</v>
      </c>
      <c r="G9" s="84"/>
      <c r="H9" s="37">
        <v>100.0</v>
      </c>
      <c r="I9" s="21" t="s">
        <v>18</v>
      </c>
      <c r="J9" s="21" t="s">
        <v>173</v>
      </c>
      <c r="K9" s="21"/>
      <c r="L9" s="25"/>
    </row>
    <row r="10">
      <c r="A10" s="18">
        <v>70.0</v>
      </c>
      <c r="B10" s="19">
        <v>44079.0</v>
      </c>
      <c r="C10" s="20">
        <v>0.43333333333333335</v>
      </c>
      <c r="D10" s="19">
        <v>44080.0</v>
      </c>
      <c r="E10" s="20">
        <v>0.5027777777777778</v>
      </c>
      <c r="F10" s="45">
        <v>1.0694444444444444</v>
      </c>
      <c r="G10" s="21" t="s">
        <v>174</v>
      </c>
      <c r="H10" s="22">
        <v>100.0</v>
      </c>
      <c r="I10" s="21" t="s">
        <v>18</v>
      </c>
      <c r="J10" s="21" t="s">
        <v>175</v>
      </c>
      <c r="K10" s="21"/>
      <c r="L10" s="25"/>
    </row>
    <row r="11">
      <c r="A11" s="18">
        <v>14.0</v>
      </c>
      <c r="B11" s="19">
        <v>44079.0</v>
      </c>
      <c r="C11" s="20">
        <v>0.3541666666666667</v>
      </c>
      <c r="D11" s="19">
        <v>44080.0</v>
      </c>
      <c r="E11" s="20">
        <v>0.5694444444444444</v>
      </c>
      <c r="F11" s="45">
        <v>1.2152777777777777</v>
      </c>
      <c r="G11" s="21" t="s">
        <v>178</v>
      </c>
      <c r="H11" s="22">
        <v>100.0</v>
      </c>
      <c r="I11" s="21" t="s">
        <v>18</v>
      </c>
      <c r="J11" s="21" t="s">
        <v>178</v>
      </c>
      <c r="K11" s="21"/>
      <c r="L11" s="25"/>
    </row>
    <row r="12">
      <c r="A12" s="18">
        <v>65.0</v>
      </c>
      <c r="B12" s="19">
        <v>44079.0</v>
      </c>
      <c r="C12" s="20">
        <v>0.3527777777777778</v>
      </c>
      <c r="D12" s="19">
        <v>44080.0</v>
      </c>
      <c r="E12" s="20">
        <v>0.56875</v>
      </c>
      <c r="F12" s="45">
        <v>1.2159722222222222</v>
      </c>
      <c r="G12" s="73"/>
      <c r="H12" s="22">
        <v>100.0</v>
      </c>
      <c r="I12" s="21" t="s">
        <v>18</v>
      </c>
      <c r="J12" s="21" t="s">
        <v>179</v>
      </c>
      <c r="K12" s="21"/>
      <c r="L12" s="25"/>
    </row>
    <row r="13">
      <c r="A13" s="18">
        <v>51.0</v>
      </c>
      <c r="B13" s="19">
        <v>44079.0</v>
      </c>
      <c r="C13" s="20">
        <v>0.4027777777777778</v>
      </c>
      <c r="D13" s="19">
        <v>44080.0</v>
      </c>
      <c r="E13" s="20">
        <v>0.6493055555555556</v>
      </c>
      <c r="F13" s="45">
        <v>1.2465277777777777</v>
      </c>
      <c r="G13" s="21" t="s">
        <v>180</v>
      </c>
      <c r="H13" s="22">
        <v>100.0</v>
      </c>
      <c r="I13" s="21" t="s">
        <v>18</v>
      </c>
      <c r="J13" s="21" t="s">
        <v>181</v>
      </c>
      <c r="K13" s="21"/>
      <c r="L13" s="25"/>
    </row>
    <row r="14">
      <c r="A14" s="18">
        <v>32.0</v>
      </c>
      <c r="B14" s="19">
        <v>44078.0</v>
      </c>
      <c r="C14" s="20">
        <v>0.9375</v>
      </c>
      <c r="D14" s="19">
        <v>44080.0</v>
      </c>
      <c r="E14" s="20">
        <v>0.1875</v>
      </c>
      <c r="F14" s="45">
        <v>1.25</v>
      </c>
      <c r="G14" s="21" t="s">
        <v>182</v>
      </c>
      <c r="H14" s="22">
        <v>100.0</v>
      </c>
      <c r="I14" s="21" t="s">
        <v>109</v>
      </c>
      <c r="J14" s="21" t="s">
        <v>183</v>
      </c>
      <c r="K14" s="21" t="s">
        <v>184</v>
      </c>
      <c r="L14" s="39"/>
    </row>
    <row r="15">
      <c r="A15" s="18">
        <v>36.0</v>
      </c>
      <c r="B15" s="19">
        <v>44079.0</v>
      </c>
      <c r="C15" s="20">
        <v>0.39861111111111114</v>
      </c>
      <c r="D15" s="19">
        <v>44080.0</v>
      </c>
      <c r="E15" s="20">
        <v>0.6493055555555556</v>
      </c>
      <c r="F15" s="45">
        <v>1.2506944444444446</v>
      </c>
      <c r="G15" s="73"/>
      <c r="H15" s="22">
        <v>100.0</v>
      </c>
      <c r="I15" s="21" t="s">
        <v>18</v>
      </c>
      <c r="J15" s="21" t="s">
        <v>185</v>
      </c>
      <c r="K15" s="21"/>
      <c r="L15" s="25"/>
    </row>
    <row r="16">
      <c r="A16" s="18">
        <v>15.0</v>
      </c>
      <c r="B16" s="19">
        <v>44078.0</v>
      </c>
      <c r="C16" s="48">
        <v>0.9375</v>
      </c>
      <c r="D16" s="19">
        <v>44079.0</v>
      </c>
      <c r="E16" s="20">
        <v>0.7034722222222223</v>
      </c>
      <c r="F16" s="43" t="s">
        <v>148</v>
      </c>
      <c r="G16" s="21" t="s">
        <v>188</v>
      </c>
      <c r="H16" s="22">
        <v>100.0</v>
      </c>
      <c r="I16" s="21" t="s">
        <v>109</v>
      </c>
      <c r="J16" s="21" t="s">
        <v>189</v>
      </c>
      <c r="K16" s="21"/>
      <c r="L16" s="39"/>
    </row>
    <row r="17">
      <c r="A17" s="18">
        <v>23.0</v>
      </c>
      <c r="B17" s="19">
        <v>44078.0</v>
      </c>
      <c r="C17" s="20">
        <v>0.8972222222222223</v>
      </c>
      <c r="D17" s="19">
        <v>44079.0</v>
      </c>
      <c r="E17" s="20">
        <v>0.5340277777777778</v>
      </c>
      <c r="F17" s="43" t="s">
        <v>148</v>
      </c>
      <c r="G17" s="21" t="s">
        <v>190</v>
      </c>
      <c r="H17" s="22">
        <v>100.0</v>
      </c>
      <c r="I17" s="21" t="s">
        <v>109</v>
      </c>
      <c r="J17" s="21" t="s">
        <v>191</v>
      </c>
      <c r="K17" s="21"/>
      <c r="L17" s="39"/>
    </row>
    <row r="18">
      <c r="A18" s="18">
        <v>100.0</v>
      </c>
      <c r="B18" s="19">
        <v>44078.0</v>
      </c>
      <c r="C18" s="20">
        <v>0.8368055555555556</v>
      </c>
      <c r="D18" s="19">
        <v>44079.0</v>
      </c>
      <c r="E18" s="20">
        <v>0.5833333333333334</v>
      </c>
      <c r="F18" s="43" t="s">
        <v>148</v>
      </c>
      <c r="G18" s="21" t="s">
        <v>192</v>
      </c>
      <c r="H18" s="22">
        <v>100.0</v>
      </c>
      <c r="I18" s="21" t="s">
        <v>109</v>
      </c>
      <c r="J18" s="21" t="s">
        <v>193</v>
      </c>
      <c r="K18" s="21"/>
      <c r="L18" s="39"/>
    </row>
    <row r="19">
      <c r="A19" s="18">
        <v>62.0</v>
      </c>
      <c r="B19" s="19">
        <v>44078.0</v>
      </c>
      <c r="C19" s="20">
        <v>0.9027777777777778</v>
      </c>
      <c r="D19" s="19">
        <v>44079.0</v>
      </c>
      <c r="E19" s="20">
        <v>0.5215277777777778</v>
      </c>
      <c r="F19" s="43" t="s">
        <v>148</v>
      </c>
      <c r="G19" s="21" t="s">
        <v>149</v>
      </c>
      <c r="H19" s="22">
        <v>100.0</v>
      </c>
      <c r="I19" s="21" t="s">
        <v>109</v>
      </c>
      <c r="J19" s="21" t="s">
        <v>150</v>
      </c>
      <c r="K19" s="21"/>
      <c r="L19" s="39"/>
    </row>
  </sheetData>
  <drawing r:id="rId1"/>
</worksheet>
</file>